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7950" firstSheet="4" activeTab="5"/>
  </bookViews>
  <sheets>
    <sheet name="ขั้นตอนการคำนวณ" sheetId="1" r:id="rId1"/>
    <sheet name="คชจ.หน่วยงาน63" sheetId="2" r:id="rId2"/>
    <sheet name="สรุปรวมคชจ." sheetId="3" r:id="rId3"/>
    <sheet name="ปันส่วนหน่วยงานสนับสนุน" sheetId="4" r:id="rId4"/>
    <sheet name="ต้นทุนคณะเฉลี่ย63" sheetId="5" r:id="rId5"/>
    <sheet name="ต้นทุนหลักสูตรเฉลี่ย63" sheetId="6" r:id="rId6"/>
    <sheet name="จำนวนนศ.มากไปน้อย63" sheetId="7" r:id="rId7"/>
    <sheet name="สรุป FTES63" sheetId="8" r:id="rId8"/>
  </sheets>
  <definedNames>
    <definedName name="_xlnm._FilterDatabase" localSheetId="6" hidden="1">'จำนวนนศ.มากไปน้อย63'!$B$4:$Q$4</definedName>
    <definedName name="_xlnm._FilterDatabase" localSheetId="4" hidden="1">'ต้นทุนคณะเฉลี่ย63'!$A$4:$M$145</definedName>
    <definedName name="_xlnm.Print_Titles" localSheetId="4">'ต้นทุนคณะเฉลี่ย63'!$1:$4</definedName>
  </definedNames>
  <calcPr fullCalcOnLoad="1"/>
</workbook>
</file>

<file path=xl/sharedStrings.xml><?xml version="1.0" encoding="utf-8"?>
<sst xmlns="http://schemas.openxmlformats.org/spreadsheetml/2006/main" count="1466" uniqueCount="393">
  <si>
    <t>งปม.</t>
  </si>
  <si>
    <t>นอกงปม.</t>
  </si>
  <si>
    <t>รหัสหน่วยเบิกจ่าย........2017100000 - 2017100005..........</t>
  </si>
  <si>
    <t>ชื่อหน่วยงาน</t>
  </si>
  <si>
    <t>รวมทั้งสิ้น</t>
  </si>
  <si>
    <t>งบกลาง</t>
  </si>
  <si>
    <t xml:space="preserve"> หน่วยงานหลัก </t>
  </si>
  <si>
    <t xml:space="preserve"> 1. คณะวิศวกรรมศาสตร์ (สงขลา) </t>
  </si>
  <si>
    <t xml:space="preserve"> 2. คณะบริหารธุรกิจ (สงขลา) </t>
  </si>
  <si>
    <t xml:space="preserve"> 3.  คณะศิลปศาสตร์ (สงขลา)</t>
  </si>
  <si>
    <t xml:space="preserve"> 4. คณะสถาปัตยกรรมศาสตร์ (สงขลา) </t>
  </si>
  <si>
    <t xml:space="preserve"> 5. คณะครุศาสตร์อุตสาหกรรมและเทคโนโลยี (สงขลา)</t>
  </si>
  <si>
    <t xml:space="preserve"> 6. วิทยาลัยรัตภูมิ (สงขลา) </t>
  </si>
  <si>
    <t xml:space="preserve"> 7. คณะวิทยาศาสตร์และเทคโนโลยี (ทุ่งใหญ่) </t>
  </si>
  <si>
    <t xml:space="preserve"> 7. คณะวิทยาศาสตร์และเทคโนโลยี (ไสใหญ่) </t>
  </si>
  <si>
    <t xml:space="preserve"> 8. คณะเกษตรศาสตร์ (ทุ่งใหญ่) </t>
  </si>
  <si>
    <t xml:space="preserve"> 8. คณะเกษตรศาสตร์ (ไสใหญ่) </t>
  </si>
  <si>
    <t xml:space="preserve"> 9. คณะอุตสาหกรรมเกษตร (ทุ่งใหญ่) </t>
  </si>
  <si>
    <t xml:space="preserve"> 10. คณะสัตวแพทย์ศาสตร์ (ทุ่งใหญ่) </t>
  </si>
  <si>
    <t xml:space="preserve"> 11. คณะเทคโนโลยีการจัดการ (ไสใหญ่) </t>
  </si>
  <si>
    <t xml:space="preserve"> 12. คณะวิทยาศาสตร์และเทคโนโลยีการประมง (ตรัง) </t>
  </si>
  <si>
    <t xml:space="preserve"> 13. วิทยาลัยการโรงแรมและการท่องเที่ยว (ตรัง) </t>
  </si>
  <si>
    <t>รวม</t>
  </si>
  <si>
    <t xml:space="preserve"> หน่วยงานสนับสนุน </t>
  </si>
  <si>
    <t xml:space="preserve"> 2. ส่วนกลางสงขลา  </t>
  </si>
  <si>
    <t xml:space="preserve"> 3. สำนักงานวิทยาเขตนครศรีธรรมราช (ไสใหญ่) </t>
  </si>
  <si>
    <t xml:space="preserve"> 4. สำนักงานวิทยาเขตนครศรีธรรมราช (ทุ่งใหญ่) </t>
  </si>
  <si>
    <t xml:space="preserve"> 5. สำนักงานวิทยาเขตตรัง </t>
  </si>
  <si>
    <t xml:space="preserve"> 6. สถาบันวิจัยและพัฒนา  (ตรัง)</t>
  </si>
  <si>
    <t xml:space="preserve"> 7. สถาบันทรัพยากรธรรมชาติและสิ่งแวดล้อม (ตรัง)</t>
  </si>
  <si>
    <t>1. ฟาร์ม (ทุ่งใหญ่)</t>
  </si>
  <si>
    <t>2. หอพัก (ทุ่งใหญ่)</t>
  </si>
  <si>
    <t>3 โรงพยาบาลสัตว์ (ทุ่งใหญ่)</t>
  </si>
  <si>
    <t>6. หอพัก (ตรัง)</t>
  </si>
  <si>
    <t>รวมทุกหน่วยงาน</t>
  </si>
  <si>
    <t>1.ค่าใช้จ่ายด้านบุคลากร</t>
  </si>
  <si>
    <t>2.ค่าใช้จ่ายด้านการฝึกอบรม</t>
  </si>
  <si>
    <t>3.ค่าใช้จ่ายในการเดินทาง</t>
  </si>
  <si>
    <t>4.ค่าใช้จ่ายเงินอุดหนุน</t>
  </si>
  <si>
    <t>6.ค่าตอบแทน ใช้สอย และวัสดุ</t>
  </si>
  <si>
    <t>7.ค่าเสื่อมราคาและค่าตัดจำหน่าย</t>
  </si>
  <si>
    <t>9.ค่าใช้จ่ายอื่น ๆ</t>
  </si>
  <si>
    <t>(1+2+3+4)</t>
  </si>
  <si>
    <t>(6+7)</t>
  </si>
  <si>
    <t>5.รวมพัฒนา
บุคลากร</t>
  </si>
  <si>
    <t>8.รวมพัฒนา
การเรียนการสอน</t>
  </si>
  <si>
    <t xml:space="preserve"> ชื่อหลักสูตร </t>
  </si>
  <si>
    <t xml:space="preserve"> สาขา </t>
  </si>
  <si>
    <t xml:space="preserve"> คณะ/วิทยาลัย </t>
  </si>
  <si>
    <t xml:space="preserve"> รวมต้นทุน </t>
  </si>
  <si>
    <t xml:space="preserve"> ประกาศนียบัตรวิชาชีพชั้นสูง (ปวส.) </t>
  </si>
  <si>
    <t>สาขาวิชาการตลาด</t>
  </si>
  <si>
    <t xml:space="preserve"> วิทยาลัยรัตภูมิ </t>
  </si>
  <si>
    <t>สาขาวิชาการบัญชี</t>
  </si>
  <si>
    <t>สาขาวิชาคอมพิวเตอร์ธุรกิจ</t>
  </si>
  <si>
    <t>สาขาวิชาช่างยนต์</t>
  </si>
  <si>
    <t>ระดับปริญญาตรี</t>
  </si>
  <si>
    <t xml:space="preserve"> หลักสูตรบริหารธุรกิจบัณฑิต </t>
  </si>
  <si>
    <t xml:space="preserve"> คณะบริหารธุรกิจ </t>
  </si>
  <si>
    <t>สาขาวิชาระบบสารสนเทศทางธุรกิจ</t>
  </si>
  <si>
    <t>สาขาวิชาการเงิน</t>
  </si>
  <si>
    <t>หลักสูตรบัญชีบัณฑิต</t>
  </si>
  <si>
    <t xml:space="preserve"> หลักสูตรบัญชีบัณฑิต </t>
  </si>
  <si>
    <t xml:space="preserve"> สาขาวิชาการบัญชี </t>
  </si>
  <si>
    <t xml:space="preserve"> คณะเทคโนโลยีการจัดการ </t>
  </si>
  <si>
    <t xml:space="preserve"> สาขาวิชาระบบสารสนเทศทางธุรกิจ </t>
  </si>
  <si>
    <t xml:space="preserve"> สาขาวิชาธุรกิจอิเล็กทรอนิกส์ </t>
  </si>
  <si>
    <t xml:space="preserve"> สาขาวิชาการจัดการ </t>
  </si>
  <si>
    <t xml:space="preserve"> สาขาวิชาการเงิน </t>
  </si>
  <si>
    <t xml:space="preserve"> สาขาวิชาการจัดการโลจิสติกส์ </t>
  </si>
  <si>
    <t xml:space="preserve"> หลักสูตรศิลปศาสตรบัณฑิต </t>
  </si>
  <si>
    <t xml:space="preserve"> สาขาวิชาการโรงแรมและการท่องเที่ยว </t>
  </si>
  <si>
    <t xml:space="preserve"> วิทยาลัยการโรงแรมและท่องเที่ยว </t>
  </si>
  <si>
    <t xml:space="preserve"> สาขาวิชาการโรงแรม </t>
  </si>
  <si>
    <t xml:space="preserve"> สาขาวิชาภาษาอังกฤษเพื่อสารสื่อสารสากล </t>
  </si>
  <si>
    <t xml:space="preserve"> คณะศิลปศาสตร์ </t>
  </si>
  <si>
    <t xml:space="preserve"> สาขาวิชาภาษาอังกฤษเพื่อการสื่อสารสากล </t>
  </si>
  <si>
    <t xml:space="preserve"> สาขาวิชาธุรกิจคหกรรมศาสตร์ </t>
  </si>
  <si>
    <t xml:space="preserve"> สาขาวิชาการท่องเที่ยว </t>
  </si>
  <si>
    <t xml:space="preserve"> สาขาวิชาอาหารและโภชนาการ </t>
  </si>
  <si>
    <t xml:space="preserve"> หลักสูตรวิทยาศาสตรบัณฑิต </t>
  </si>
  <si>
    <t xml:space="preserve"> คณะอุตสาหกรรมเกษตร </t>
  </si>
  <si>
    <t xml:space="preserve"> สาขาวิชาวิทยาศาสตร์และเทคโนโลยีการอาหาร </t>
  </si>
  <si>
    <t xml:space="preserve"> หลักสูตรคหกรรมศาสตรบัณฑิต </t>
  </si>
  <si>
    <t xml:space="preserve"> สาขาวิชาพืชศาสตร์ </t>
  </si>
  <si>
    <t xml:space="preserve"> คณะเกษตรศาสตร์ </t>
  </si>
  <si>
    <t xml:space="preserve"> สาขาวิชาสัตวศาสตร์ </t>
  </si>
  <si>
    <t xml:space="preserve"> สาขาวิชาประมง </t>
  </si>
  <si>
    <t xml:space="preserve"> คณะวิทยาศาสตร์และเทคโนโลยี </t>
  </si>
  <si>
    <t xml:space="preserve"> สาขาวิชาเทคโนโลยีการยาง </t>
  </si>
  <si>
    <t xml:space="preserve"> สาขาวิชาเทคโนโลยีน้ำมันปาล์มและโอลิโอเคมี </t>
  </si>
  <si>
    <t xml:space="preserve"> สาขาวิชาชีววิทยาประยุกต์ </t>
  </si>
  <si>
    <t xml:space="preserve"> สาขาวิชาเทคโนโลยีสารสนเทศ </t>
  </si>
  <si>
    <t xml:space="preserve"> หลักสูตรอุตสาหกรรมศาสตรบัณฑิต </t>
  </si>
  <si>
    <t xml:space="preserve"> สาขาวิชาเทคโนโลยีอุตสาหการ </t>
  </si>
  <si>
    <t xml:space="preserve"> หลักสูตรการแพทย์แผนไทยบัณฑิต </t>
  </si>
  <si>
    <t xml:space="preserve"> สาขาวิชาการแพทย์แผนไทย </t>
  </si>
  <si>
    <t xml:space="preserve"> คณะวิทยาศาสตร์และเทคโนโลยีการประมง </t>
  </si>
  <si>
    <t xml:space="preserve"> หลักสูตรเทคโนโลยีบัณฑิต </t>
  </si>
  <si>
    <t xml:space="preserve"> หลักสูตรวิศวกรรมศาสตรบัณฑิต </t>
  </si>
  <si>
    <t xml:space="preserve"> สาขาวิชาสัตวแพทยศาสตร์ </t>
  </si>
  <si>
    <t xml:space="preserve"> คณะสัตวแพทย์ศาสตร์ </t>
  </si>
  <si>
    <t xml:space="preserve"> สาขาวิชาวิศวกรรมไฟฟ้า </t>
  </si>
  <si>
    <t xml:space="preserve"> คณะวิศวกรรมศาสตร์ </t>
  </si>
  <si>
    <t xml:space="preserve"> สาขาวิชาวิศวกรรมคอมพิวเตอร์ </t>
  </si>
  <si>
    <t xml:space="preserve"> สาขาวิชาวิศวกรรมอิเล็กทรอนิกส์ </t>
  </si>
  <si>
    <t xml:space="preserve"> สาขาวิชาวิศกรรมเครื่องกล </t>
  </si>
  <si>
    <t xml:space="preserve"> สาขาวิชาวิศวกรรมโทรคมนาคม </t>
  </si>
  <si>
    <t xml:space="preserve"> สาขาวิชาวิศวกรรมอุตสาหการ </t>
  </si>
  <si>
    <t xml:space="preserve"> สาขาวิชาวิศวกรรมโยธา </t>
  </si>
  <si>
    <t xml:space="preserve"> สาขาวิชาวิศวกรรมสำรวจ </t>
  </si>
  <si>
    <t xml:space="preserve"> สาขาวิชาวิศวกรรมเครื่องนุ่งห่ม </t>
  </si>
  <si>
    <t xml:space="preserve"> สาขาวิชาวิศกรรมการผลิต </t>
  </si>
  <si>
    <t xml:space="preserve"> สาขาวิชาเทคโนโลยีเครื่องกล </t>
  </si>
  <si>
    <t xml:space="preserve"> วิทยาลัยเทคโนโลยีอุตสาหกรรมและการจัดการ </t>
  </si>
  <si>
    <t>หลักสูตรวิศวกรรมศาสตรบัณฑิต</t>
  </si>
  <si>
    <t xml:space="preserve"> คณะครุศาสตร์อุตสาหกรรมและเทคโนโลยี </t>
  </si>
  <si>
    <t xml:space="preserve"> สาขาวิชาวิศวกรรมอิเล็กทรอนิกส์และโทรคมนาคม </t>
  </si>
  <si>
    <t xml:space="preserve"> สาขาวิชาวิศวกรรมแมคคาทรอนิกส์ </t>
  </si>
  <si>
    <t xml:space="preserve"> สาขาวิชาเทคโนโลยีสื่อสารมวลชน </t>
  </si>
  <si>
    <t xml:space="preserve"> คณะสถาปัตยกรรมศาสตร์ </t>
  </si>
  <si>
    <t xml:space="preserve"> สาขาวิชาการผังเมือง </t>
  </si>
  <si>
    <t xml:space="preserve"> หลักสูตรศิลปบัณฑิต </t>
  </si>
  <si>
    <t xml:space="preserve"> สาขาวิชาจิตรกรรม </t>
  </si>
  <si>
    <t xml:space="preserve"> สาขาวิชาการออกแบบแฟชั่นและสิ่งทอ </t>
  </si>
  <si>
    <t xml:space="preserve"> ระดับปริญญาโท </t>
  </si>
  <si>
    <t xml:space="preserve"> หลักสูตรบริหารธุรกิจมหาบัณฑิต </t>
  </si>
  <si>
    <t xml:space="preserve"> คณะบริหารธุรกิจ  </t>
  </si>
  <si>
    <t xml:space="preserve"> หลักสูตรวิทยาศาสตรมหาบัณฑิต </t>
  </si>
  <si>
    <t xml:space="preserve"> คณะเกษตรศาสตร์  </t>
  </si>
  <si>
    <t xml:space="preserve"> สาขาวิชาเทคโนโลยีการผลิตพืช </t>
  </si>
  <si>
    <t xml:space="preserve"> สาขาวิชาการเพาะเลี้ยงสัตว์น้ำและการจัดการทรัพยากรประมง </t>
  </si>
  <si>
    <t xml:space="preserve"> หลักสูตรวิศวกรรมศาสตรมหาบัณฑิต </t>
  </si>
  <si>
    <t xml:space="preserve">รับการปันส่วนจากหน่วยงานสนับสนุน (ใช้เกณฑ์ FTES) </t>
  </si>
  <si>
    <t>คชจ.
พัฒนาอาจารย์และบุคลากร</t>
  </si>
  <si>
    <t xml:space="preserve">คชจ.
พัฒนานักศึกษา
</t>
  </si>
  <si>
    <t xml:space="preserve"> สาขาวิชาเทคโนโลยีปิโตรเลียม</t>
  </si>
  <si>
    <t>ค่าใช้จ่ายด้านบุคลากร</t>
  </si>
  <si>
    <t>ค่าใช้จ่ายด้านการฝึกอบรม</t>
  </si>
  <si>
    <t>ค่าใช้จ่ายในการเดินทาง</t>
  </si>
  <si>
    <t>ค่าตอบแทน ใช้สอย และวัสดุ</t>
  </si>
  <si>
    <t>ค่าเสื่อมราคาและค่าตัดจำหน่าย</t>
  </si>
  <si>
    <t>ค่าใช้จ่ายเงินอุดหนุน</t>
  </si>
  <si>
    <t>ค่าใช้จ่ายอื่น ๆ</t>
  </si>
  <si>
    <t>รวมคชจ.</t>
  </si>
  <si>
    <t>ค่าใช้จ่ายที่ไม่เป็นต้นทุนผลผลิตของมหาวิทยาลัยฯ</t>
  </si>
  <si>
    <t xml:space="preserve">รับปันส่วนคชจ.
พัฒนานักศึกษา
</t>
  </si>
  <si>
    <t>คชจ.หลังรับปันส่วนจากหน่วยงานสนับสนุน</t>
  </si>
  <si>
    <t>คชจ.
พัฒนาการเรียน
การสอน</t>
  </si>
  <si>
    <t xml:space="preserve">รับปันส่วนคชจ.
พัฒนาการเรียน
การสอน
</t>
  </si>
  <si>
    <t xml:space="preserve">รับปันส่วนคชจ.
พัฒนาอาจารย์และ
บุคลากร
</t>
  </si>
  <si>
    <t>สาขาวิชาช่างไฟฟ้า</t>
  </si>
  <si>
    <t>สาขาวิชาเทคโนโลยีเครื่องจักรกลเกษตร</t>
  </si>
  <si>
    <t>สาขาวิชาเทคโนโลยีคอมพิวเตอร์</t>
  </si>
  <si>
    <t>สาขาวิชาเทคโนโลยีสารสนเทศ</t>
  </si>
  <si>
    <t>ต้นทุนเฉลี่ยคณะบริหารธุรกิจ</t>
  </si>
  <si>
    <t xml:space="preserve">ต้นทุนเฉลี่ยวิทยาลัยรัตภูมิ </t>
  </si>
  <si>
    <t xml:space="preserve">ต้นทุนเฉลี่ยคณะเทคโนโลยีการจัดการ </t>
  </si>
  <si>
    <t>ต้นทุนเฉลี่ยวิทยาลัยการโรงแรมและท่องเที่ยว</t>
  </si>
  <si>
    <t>ต้นทุนเฉลี่ยคณะศิลปศาสตร์</t>
  </si>
  <si>
    <t>ต้นทุนเฉลี่ยคณะอุตสาหกรรมเกษตร</t>
  </si>
  <si>
    <t>ต้นทุนเฉลี่ยคณะเกษตรศาสตร์</t>
  </si>
  <si>
    <t>ต้นทุนเฉลี่ยคณะวิทยาศาสตร์และเทคโนโลยี</t>
  </si>
  <si>
    <t>ต้นทุนเฉลี่ยคณะวิศวกรรมศาสตร์และเทคโนโลยี</t>
  </si>
  <si>
    <t>ต้นทุนเฉลี่ยคณะสัตวแพทย์ศาสตร์</t>
  </si>
  <si>
    <t>ต้นทุนเฉลี่ยคณะวิศวกรรมศาสตร์</t>
  </si>
  <si>
    <t>ต้นทุนเฉลี่ยวิทยาลัยเทคโนโลยีอุตสาหกรรมและการจัดการ</t>
  </si>
  <si>
    <t>ต้นทุนเฉลี่ยคณะครุศาสตร์อุตสาหกรรมและเทคโนโลยี</t>
  </si>
  <si>
    <t>ต้นทุนเฉลี่ยคณะสถาปัตยกรรมศาสตร์</t>
  </si>
  <si>
    <t xml:space="preserve">สาขาวิชาการบัญชี </t>
  </si>
  <si>
    <t xml:space="preserve">สาขาวิชาการตลาด </t>
  </si>
  <si>
    <t xml:space="preserve"> หลักสูตรสถาปัตยกรรมศาสตรบัณฑิต</t>
  </si>
  <si>
    <t xml:space="preserve"> สาขาวิชาสถาปัตยกรรม</t>
  </si>
  <si>
    <t>คิดเป็นร้อยละ</t>
  </si>
  <si>
    <t>ต้นทุนพัฒนา
นักศึกษา  
(นศ.(คน)/ปี)</t>
  </si>
  <si>
    <t>รวมสัดส่วนค่าใช้จ่าย</t>
  </si>
  <si>
    <t xml:space="preserve"> ต้นทุนต่อหลักสูตร สาขา (นศ.(คน)/ปี)</t>
  </si>
  <si>
    <t>ต้นทุนพัฒนา
อาจารย์บุคลากร
(นศ.(คน)/ปี)</t>
  </si>
  <si>
    <t>ต้นทุนพัฒนา
การเรียนการสอน
(นศ.(คน)/ปี)</t>
  </si>
  <si>
    <t>ต้นทุนพัฒนานักศึกษา  
(นศ.(คน)/ปี)</t>
  </si>
  <si>
    <t>มหาวิทยาลัยเทคโนโลยีราชมงคลศรีวิชัย  (คชจ.ก่อนรับการปันส่วน)</t>
  </si>
  <si>
    <t>ต้นทุนเฉลี่ยวิทยาลัยรัตภูมิ ระดับปวส.</t>
  </si>
  <si>
    <t xml:space="preserve"> หลักสูตรสัตวแพทยศาสตร์บัณฑิต </t>
  </si>
  <si>
    <t xml:space="preserve">มหาวิทยาลัยเทคโนโลยีราชมงคลศรีวิชัย </t>
  </si>
  <si>
    <t>4. ศูนย์ฝึกวิชาชีพ  (วิทยาลัยฯ ตรัง)</t>
  </si>
  <si>
    <t>5. ฟาร์ม (คณะวิทย์ฯ ตรัง)</t>
  </si>
  <si>
    <t>สาขาวิชาวิศวกรรมคอมพิวเตอร์</t>
  </si>
  <si>
    <t>สาขาวิชาวิศวกรรมเครื่องจักรกลเกษตร</t>
  </si>
  <si>
    <t>สาขาวิชาการจัดการ-การจัดการทรัพยากรมนุษย์</t>
  </si>
  <si>
    <t>สาขาวิชาการจัดการ-การจัดการทั่วไป</t>
  </si>
  <si>
    <t>สาขาวิชาการจัดการ-การจัดการสำนักงานอิเล็กทรอนิกส์</t>
  </si>
  <si>
    <t>สาขาวิชาการจัดการ-การจัดการอุตสาหกรรม</t>
  </si>
  <si>
    <t xml:space="preserve"> สาขาวิชาการจัดการการตลาด</t>
  </si>
  <si>
    <t xml:space="preserve"> สาขาวิชาการจัดการการเป็นผู้ประกอบการ</t>
  </si>
  <si>
    <t xml:space="preserve"> สาขาวิชาการจัดการเทคโนโลยีสารสนเทศ</t>
  </si>
  <si>
    <t>สาขาวิชาเทคโนโลยียางและพอลิเมอร์</t>
  </si>
  <si>
    <t>สาขาวิชาการจัดการทรัพยากรและสิ่งแวดล้อม</t>
  </si>
  <si>
    <t>สาขาวิชาการจัดการสิ่งแวดล้อมท้องถิ่น-การจัดการสิ่งแวดล้อม</t>
  </si>
  <si>
    <t>สาขาวิชาการจัดการสิ่งแวดล้อมท้องถิ่น-ทรัพยากรและสิ่งแวดล้อม</t>
  </si>
  <si>
    <t>สาขาวิชาวิทยาศาสตร์ทางทะเล-ชีววิทยาทางทะเล</t>
  </si>
  <si>
    <t>สาขาวิชาวิทยาศาสตร์สิ่งแวดล้อม-วิทยาศาสตร์สิ่งแวดล้อม</t>
  </si>
  <si>
    <t>สาขาวิชาวิทยาศาสตร์และเทคโนโลยีสิ่งแวดล้อม</t>
  </si>
  <si>
    <t>สาขาวิชาการจัดการทรัพยากและสิ่งแวดล้อม</t>
  </si>
  <si>
    <t xml:space="preserve">สาขาวิชาเพาะเลี้ยงสัตว์น้ำ </t>
  </si>
  <si>
    <t xml:space="preserve">สาขาวิชาอุตสาหกรรมอาหาร </t>
  </si>
  <si>
    <t xml:space="preserve"> สาขาวิชาทัศนศิลป์</t>
  </si>
  <si>
    <t xml:space="preserve"> หลักสูตรครุศาสตร์อุตสาหกรรมบัณฑิต</t>
  </si>
  <si>
    <t>ภาพรวมสัดส่วนค่าใช้จ่ายทั้งมหาวิทยาลัยฯ</t>
  </si>
  <si>
    <t>***เนื่องจากมหาวิทยาลัยเทคโนโลยีราชมงคลศรีวิชัย มีการคำนวณต้นทุนต่อหน่วยผลผลิตตามรูปแบบกรมบัญชีกลาง จึงใช้วิธีการปันส่วนตามค่า FTES เพื่อใช้คำนวณต้นทุนต่อหน่วยหลักสูตร</t>
  </si>
  <si>
    <t>10.รวมพัฒนา
นักศึกษา</t>
  </si>
  <si>
    <t>(9)</t>
  </si>
  <si>
    <t>(5+8+10)</t>
  </si>
  <si>
    <t xml:space="preserve"> </t>
  </si>
  <si>
    <t xml:space="preserve"> 14. คณะวิศวกรรมศาสตร์และเทคโนโลยี (ตรัง)</t>
  </si>
  <si>
    <t xml:space="preserve"> 15. วิทยาลัยเทคโนโลยีอุตสาหกรรมและการจัดการ (ขนอม) </t>
  </si>
  <si>
    <t xml:space="preserve"> 1. สำนักงานอธิการบดีและหน่วยงานในหน่วยเบิก00</t>
  </si>
  <si>
    <t>8. ฟาร์ม (ไสใหญ่)</t>
  </si>
  <si>
    <t>9. หอพัก (ไสใหญ่)</t>
  </si>
  <si>
    <t>10. โครงการฝึกทักษะวิชาชีพนักศึกษา (ไสใหญ่)</t>
  </si>
  <si>
    <t>11. หอพัก (ขนอม)</t>
  </si>
  <si>
    <t>5.รวมค่าใช้จ่ายเพื่อพัฒนาอาจารย์(1+2+3+4)</t>
  </si>
  <si>
    <t>8.รวมค่าใช้จ่ายเพื่อพัฒนาการเรียนการสอน(6+7)</t>
  </si>
  <si>
    <t>10.รวมค่าใช้จ่ายเพื่อพัฒนานักศึกษา</t>
  </si>
  <si>
    <t>รวมทั้งสิ้น
(5+8+10)</t>
  </si>
  <si>
    <t>ปวส.</t>
  </si>
  <si>
    <t>คณะวิศวกรรมศาสตร์และเทคโนโลยี</t>
  </si>
  <si>
    <t>วิทยาลัยรัตภูมิ</t>
  </si>
  <si>
    <t>สาขาวิชาวิทยาศาสตร์ทางทะเล</t>
  </si>
  <si>
    <t>สาขาวิชาวิศวกรรมสารสนเทศและการสื่อสาร</t>
  </si>
  <si>
    <t>สาขาวิชาวิศวกรรมไฟฟ้า</t>
  </si>
  <si>
    <t xml:space="preserve"> สาขาวิชาวิศกรรมเครื่องกลเรือ</t>
  </si>
  <si>
    <t>สาขาวิชาการจัดการ</t>
  </si>
  <si>
    <t>ต้นทุนเฉลี่ยคณะบริหารธุรกิจ-ระดับปริญญาโท</t>
  </si>
  <si>
    <t>ต้นทุนเฉลี่ยคณะเกษตรศาสตร์-ระดับปริญญาโท</t>
  </si>
  <si>
    <t>ต้นทุนเฉลี่ยคณะวิทยาศาสตร์และเทคโนโลยีการประมง-ระดับปริญญาโท</t>
  </si>
  <si>
    <t>ต้นทุนเฉลี่ยคณะวิศวกรรมศาสตร์-ระดับปริญญาโท</t>
  </si>
  <si>
    <t>สาขาวิชาเทคโนโลยีอุตสาหกรรม-เทคโนโลยีโยธา</t>
  </si>
  <si>
    <t>ค่าใช้จ่าย
พัฒนาอาจารย์
บุคลากร</t>
  </si>
  <si>
    <t>ค่าใช้จ่าย
พัฒนาการเรียน
การสอน</t>
  </si>
  <si>
    <t>ค่าใช้จ่าย
พัฒนา
นักศึกษา</t>
  </si>
  <si>
    <t xml:space="preserve"> สาขาวิชาภาษาอังกฤษเพื่อการสื่อสาร</t>
  </si>
  <si>
    <t>สาขาวิชาวิศวกรรมก่อสร้าง</t>
  </si>
  <si>
    <t xml:space="preserve">สาขาวิชาระบบสารสนเทศทางธุรกิจ </t>
  </si>
  <si>
    <t>สาขาวิชาวิศวกรรมโยธา</t>
  </si>
  <si>
    <t xml:space="preserve"> สาขาวิชาเทคโนโลยีภูมิทัศน์ </t>
  </si>
  <si>
    <t>สาขาวิชาการจัดการประมงธุรกิจสัตว์น้ำ</t>
  </si>
  <si>
    <t xml:space="preserve">สาขาวิชาการโรงแรมและการท่องเที่ยว </t>
  </si>
  <si>
    <t xml:space="preserve">สาขาวิชาเทคโนโลยีเครื่องจักรกลเกษตร </t>
  </si>
  <si>
    <t xml:space="preserve">สาขาวิชาเทคโนโลยีคอมพิวเตอร์ </t>
  </si>
  <si>
    <t xml:space="preserve"> สาขาวิชาการจัดการธุรกิจขนาดกลางและขนาดย่อม </t>
  </si>
  <si>
    <t xml:space="preserve">สาขาวิชาวิศวกรรมโยธา </t>
  </si>
  <si>
    <t xml:space="preserve"> หลักสูตรบัญชีบัณฑิต</t>
  </si>
  <si>
    <t xml:space="preserve"> มหาวิทยาลัยเทคโนโลยีราชมงคลศรีวิชัย  </t>
  </si>
  <si>
    <t xml:space="preserve">        รหัสหน่วยเบิกจ่าย  2017100000 - 2017100005</t>
  </si>
  <si>
    <t xml:space="preserve">มหาวิทยาลัยเทคโนโลยีราชมงคลศรีวิชัย  </t>
  </si>
  <si>
    <t xml:space="preserve"> 1. คณะวิศวกรรมศาสตร์ </t>
  </si>
  <si>
    <t xml:space="preserve"> 2. คณะบริหารธุรกิจ</t>
  </si>
  <si>
    <t xml:space="preserve"> 3.  คณะศิลปศาสตร์ </t>
  </si>
  <si>
    <t xml:space="preserve"> 4. คณะสถาปัตย์</t>
  </si>
  <si>
    <t xml:space="preserve"> 5. คณะครุศาสตร์ฯ</t>
  </si>
  <si>
    <t xml:space="preserve"> 6. วิทยาลัยรัตภูมิ</t>
  </si>
  <si>
    <t>1. สำนักงานอธิการบดีและหน่วยงานในหน่วยเบิกจ่าย00</t>
  </si>
  <si>
    <t>2. ส่วนกลางสงขลา</t>
  </si>
  <si>
    <t>รหัสหน่วยเบิกจ่าย  2306000000 - 2306000005</t>
  </si>
  <si>
    <t>หน่วยงานหลัก</t>
  </si>
  <si>
    <t>ป.ตรี</t>
  </si>
  <si>
    <t>ป.โท</t>
  </si>
  <si>
    <t>วิทย์</t>
  </si>
  <si>
    <t>สังคม</t>
  </si>
  <si>
    <t xml:space="preserve"> สาขาวิชาการจัดการนวัตกรรมทางการค้า</t>
  </si>
  <si>
    <t>สาขาวิชาการท่องเที่ยว</t>
  </si>
  <si>
    <t xml:space="preserve"> สาขาวิชาภาษาอังกฤษเพื่อสารสื่อนานาชาติ</t>
  </si>
  <si>
    <t>สาขาวิชาการจัดการนวัตกรรมทางธุรกิจ แขนงวิชาการจัดการนวัตกรรมการค้า</t>
  </si>
  <si>
    <t xml:space="preserve"> สาขาวิชาพัฒนาการเกษตรและการจัดการธุรกิจเกษตร </t>
  </si>
  <si>
    <t>FTES 
ปีงปม.62</t>
  </si>
  <si>
    <t xml:space="preserve">สาขาวิชาวิทยาศาสตร์และเทคโนโลยีการอาหาร </t>
  </si>
  <si>
    <t xml:space="preserve"> หลักสูตรวิทยาศาสตรบัณฑิต</t>
  </si>
  <si>
    <t xml:space="preserve"> หลักสูตรวิศวกรรมศาสตรบัณฑิต</t>
  </si>
  <si>
    <t xml:space="preserve"> คณะวิศวกรรมศาสตร์และเทคโนโลยี</t>
  </si>
  <si>
    <t>ขั้นตอนการคำนวณต้นทุนต่อหน่วยผลผลิต</t>
  </si>
  <si>
    <t xml:space="preserve">             ขั้นตอนการคำนวณต้นทุนต่อหน่วยหลักสูตร </t>
  </si>
  <si>
    <t>ตรวจประเมินโดยกรมบัญชีกลาง</t>
  </si>
  <si>
    <t xml:space="preserve">               ตรวจประเมินโดย สกอ.</t>
  </si>
  <si>
    <t>(มิติผลผลิต)</t>
  </si>
  <si>
    <t>(มิติสัดส่วนค่าใช้จ่าย)</t>
  </si>
  <si>
    <t>คชจ.บุคลากร</t>
  </si>
  <si>
    <t>คชจ.ฝึกอบรม</t>
  </si>
  <si>
    <t>คชจ.เดินทาง</t>
  </si>
  <si>
    <t>คชจ.อุดหนุน</t>
  </si>
  <si>
    <t>ตอบแทน ใช้สอย วัสดุ</t>
  </si>
  <si>
    <t>ค่าเสื่อมและตัดจำหน่าย</t>
  </si>
  <si>
    <t xml:space="preserve">คชจ.อื่น </t>
  </si>
  <si>
    <t xml:space="preserve"> 13. วิทยาลัยการโรงแรมและการท่องเที่ยว +สถานประกอบการ (ตรัง) </t>
  </si>
  <si>
    <t>1.ฟาร์ม (วิทยาลัยรัตภูมิ)</t>
  </si>
  <si>
    <t>2.ฟาร์ม (ชุมพร)</t>
  </si>
  <si>
    <t>3. ฟาร์ม (ทุ่งใหญ่)</t>
  </si>
  <si>
    <t>4. หอพัก (ทุ่งใหญ่)</t>
  </si>
  <si>
    <t>5. โรงพยาบาลสัตว์ (ทุ่งใหญ่)</t>
  </si>
  <si>
    <t>6. ศูนย์ฝึกวิชาชีพ  (วิทยาลัยฯ ตรัง)</t>
  </si>
  <si>
    <t>7. ฟาร์ม (คณะวิทย์ฯ ตรัง)</t>
  </si>
  <si>
    <t>8. หอพัก (ตรัง)</t>
  </si>
  <si>
    <t>9. ฟาร์ม (ไสใหญ่)</t>
  </si>
  <si>
    <t>10. หอพัก (ไสใหญ่)</t>
  </si>
  <si>
    <t>11. โครงการฝึกทักษะวิชาชีพนักศึกษา (ไสใหญ่)</t>
  </si>
  <si>
    <t>12. หอพัก (ขนอม)</t>
  </si>
  <si>
    <t xml:space="preserve">รายละเอียดแสดงค่าใช้จ่ายของหน่วยงาน  แยกตามประเภทค่าใช้จ่ายและแหล่งของเงิน ปีงปม.2563                           </t>
  </si>
  <si>
    <t>รายละเอียดแสดงค่าใช้จ่ายของหน่วยงาน เพื่อจัดทำต้นทุนต่อหน่วยหลักสูตร ปีงบประมาณ พ.ศ.2563</t>
  </si>
  <si>
    <t>รายละเอียดแสดงค่าใช้จ่ายของหน่วยงาน  แยกตามประเภทค่าใช้จ่ายและแหล่งของเงิน ปีงบประมาณ พ.ศ.2563</t>
  </si>
  <si>
    <t xml:space="preserve"> จำนวน นศ. 
ปี 63</t>
  </si>
  <si>
    <t xml:space="preserve"> FTES 
ปี 63</t>
  </si>
  <si>
    <t xml:space="preserve"> สาขาวิชาภาษาต่างประเทศเพื่อการสื่อสาร-ภาษาจีนเพื่อการสื่อสาร</t>
  </si>
  <si>
    <t xml:space="preserve"> สาขาวิชาภาษาต่างประเทศเพื่อการสื่อสาร-ภาษาอังกฤษเพื่อการสื่อสาร</t>
  </si>
  <si>
    <t>สาขาวิชาการจัดการอุตสาหกรรมอาหารและบริการ</t>
  </si>
  <si>
    <t>สาขาวิศวกรรมคอมพิวเตอร์และการสื่อสาร</t>
  </si>
  <si>
    <t>สาขาวิชาอุตสาหการ</t>
  </si>
  <si>
    <t>สาขาวิชาไฟฟ้า-อิเล็กทรอนิกส์และโทรคมนาคม</t>
  </si>
  <si>
    <t>สาขาวิชาไฟฟ้า-ไฟฟ้ากำลัง</t>
  </si>
  <si>
    <t>หลักสูตรครุศาสตร์อุตสาหกรรมบัณฑิต</t>
  </si>
  <si>
    <t xml:space="preserve"> ต้นทุนคณะเฉลี่ย  สัดส่วนค่าใช้จ่ายเพื่อพัฒนานักศึกษา อาจารย์ บุคลากร การจัดการเรียนการสอน  ปีงปม.2563</t>
  </si>
  <si>
    <t>สาขาวิชาบัญชีบัณฑิต</t>
  </si>
  <si>
    <t xml:space="preserve">สาขาวิชาวิศวกรรมอุตสาหการ </t>
  </si>
  <si>
    <t xml:space="preserve">สาขาวิชาวิศวกรรมอิเล็กทรอนิกส์และโทรคมนาคม </t>
  </si>
  <si>
    <t xml:space="preserve">สาขาวิชาวิศวกรรมแมคคาทรอนิกส์ </t>
  </si>
  <si>
    <t xml:space="preserve">สาขาวิชาธุรกิจอิเล็กทรอนิกส์ </t>
  </si>
  <si>
    <t>สาขาวิชาการจัดการการเป็นผู้ประกอบการ</t>
  </si>
  <si>
    <t xml:space="preserve">สาขาวิชาการจัดการ </t>
  </si>
  <si>
    <t>สาขาวิชาการจัดการการตลาด</t>
  </si>
  <si>
    <t>สาขาวิชาการจัดการนวัตกรรมทางการค้า</t>
  </si>
  <si>
    <t>สาขาวิชาการจัดการเทคโนโลยีสารสนเทศ</t>
  </si>
  <si>
    <t xml:space="preserve">สาขาวิชาการจัดการโลจิสติกส์ </t>
  </si>
  <si>
    <t xml:space="preserve">สาขาวิชาการเงิน </t>
  </si>
  <si>
    <t xml:space="preserve">สาขาวิชาพืชศาสตร์ </t>
  </si>
  <si>
    <t xml:space="preserve">สาขาวิชาสัตวศาสตร์ </t>
  </si>
  <si>
    <t xml:space="preserve">สาขาวิชาประมง </t>
  </si>
  <si>
    <t xml:space="preserve">สาขาวิชาเทคโนโลยีภูมิทัศน์ </t>
  </si>
  <si>
    <t xml:space="preserve">สาขาวิชาพัฒนาการเกษตรและการจัดการธุรกิจเกษตร </t>
  </si>
  <si>
    <t xml:space="preserve">สาขาวิชาเทคโนโลยีการยาง </t>
  </si>
  <si>
    <t xml:space="preserve">สาขาวิชาเทคโนโลยีน้ำมันปาล์มและโอลิโอเคมี </t>
  </si>
  <si>
    <t xml:space="preserve">สาขาวิชาชีววิทยาประยุกต์ </t>
  </si>
  <si>
    <t xml:space="preserve">สาขาวิชาเทคโนโลยีสารสนเทศ </t>
  </si>
  <si>
    <t xml:space="preserve">สาขาวิชาวิศวกรรมไฟฟ้า </t>
  </si>
  <si>
    <t xml:space="preserve">สาขาวิชาวิศวกรรมคอมพิวเตอร์ </t>
  </si>
  <si>
    <t xml:space="preserve">สาขาวิชาวิศวกรรมอิเล็กทรอนิกส์ </t>
  </si>
  <si>
    <t xml:space="preserve">สาขาวิชาวิศกรรมเครื่องกล </t>
  </si>
  <si>
    <t>สาขาวิชาวิศกรรมเครื่องกลเรือ</t>
  </si>
  <si>
    <t xml:space="preserve">สาขาวิชาวิศวกรรมโทรคมนาคม </t>
  </si>
  <si>
    <t xml:space="preserve">สาขาวิชาวิศวกรรมสำรวจ </t>
  </si>
  <si>
    <t xml:space="preserve">สาขาวิชาวิศวกรรมเครื่องนุ่งห่ม </t>
  </si>
  <si>
    <t xml:space="preserve">สาขาวิชาวิศกรรมการผลิต </t>
  </si>
  <si>
    <t xml:space="preserve">สาขาวิชาจิตรกรรม </t>
  </si>
  <si>
    <t xml:space="preserve">สาขาวิชาการออกแบบแฟชั่นและสิ่งทอ </t>
  </si>
  <si>
    <t>สาขาวิชาทัศนศิลป์</t>
  </si>
  <si>
    <t xml:space="preserve">สาขาวิชาภาษาอังกฤษเพื่อสารสื่อสารสากล </t>
  </si>
  <si>
    <t>สาขาวิชาภาษาอังกฤษเพื่อสารสื่อนานาชาติ</t>
  </si>
  <si>
    <t xml:space="preserve">สาขาวิชาการโรงแรม </t>
  </si>
  <si>
    <t xml:space="preserve">สาขาวิชาภาษาอังกฤษเพื่อการสื่อสารสากล </t>
  </si>
  <si>
    <t xml:space="preserve">สาขาวิชาการท่องเที่ยว </t>
  </si>
  <si>
    <t>สาขาวิชาภาษาต่างประเทศเพื่อการสื่อสาร-ภาษาจีนเพื่อการสื่อสาร</t>
  </si>
  <si>
    <t>สาขาวิชาภาษาอังกฤษเพื่อการสื่อสาร</t>
  </si>
  <si>
    <t>สาขาวิชาสถาปัตยกรรม</t>
  </si>
  <si>
    <t xml:space="preserve">สาขาวิชาสัตวแพทยศาสตร์ </t>
  </si>
  <si>
    <t xml:space="preserve">สาขาวิชาเทคโนโลยีอุตสาหการ </t>
  </si>
  <si>
    <t xml:space="preserve">สาขาวิชาเทคโนโลยีเครื่องกล </t>
  </si>
  <si>
    <t xml:space="preserve">สาขาวิชาการจัดการธุรกิจขนาดกลางและขนาดย่อม </t>
  </si>
  <si>
    <t xml:space="preserve">สาขาวิชาเทคโนโลยีการผลิตพืช </t>
  </si>
  <si>
    <t xml:space="preserve">สาขาวิชาการเพาะเลี้ยงสัตว์น้ำและการจัดการทรัพยากรประมง </t>
  </si>
  <si>
    <t xml:space="preserve"> ต้นทุนต่อหลักสูตร
 สาขา (นศ.(คน)/ปี)</t>
  </si>
  <si>
    <t xml:space="preserve"> จำนวน 
นศ. ปี 63</t>
  </si>
  <si>
    <t>สรุปค่า FTES ประจำปีงบประมาณ พ.ศ.2563</t>
  </si>
  <si>
    <t>มหาวิทยาลัยเทคโนโลยีราชมงคลศรีวิชัย</t>
  </si>
  <si>
    <t>ที่</t>
  </si>
  <si>
    <t>จำนวนนักศึกษา</t>
  </si>
  <si>
    <t>FTES</t>
  </si>
  <si>
    <t xml:space="preserve">คณะวิศวกรรมศาสตร์ </t>
  </si>
  <si>
    <t>คณะบริหารธุรกิจ</t>
  </si>
  <si>
    <t xml:space="preserve">คณะศิลปศาสตร์ </t>
  </si>
  <si>
    <t>คณะสถาปัตยกรรมศาสตร์</t>
  </si>
  <si>
    <t>คณะครุศาสตร์อุตสาหกรรมและเทคโนโลยี</t>
  </si>
  <si>
    <t xml:space="preserve">คณะวิทยาศาสตร์และเทคโนโลยี (ทุ่งใหญ่) </t>
  </si>
  <si>
    <t xml:space="preserve">คณะวิทยาศาสตร์และเทคโนโลยี (ไสใหญ่) </t>
  </si>
  <si>
    <t xml:space="preserve">คณะเกษตรศาสตร์ (ทุ่งใหญ่) </t>
  </si>
  <si>
    <t xml:space="preserve">คณะเกษตรศาสตร์ (ไสใหญ่) </t>
  </si>
  <si>
    <t xml:space="preserve">คณะอุตสาหกรรมเกษตร (ทุ่งใหญ่) </t>
  </si>
  <si>
    <t xml:space="preserve">คณะสัตวแพทย์ศาสตร์ (ทุ่งใหญ่) </t>
  </si>
  <si>
    <t xml:space="preserve">คณะเทคโนโลยีการจัดการ (ไสใหญ่) </t>
  </si>
  <si>
    <t xml:space="preserve">คณะวิทยาศาสตร์และเทคโนโลยีการประมง (ตรัง) </t>
  </si>
  <si>
    <t xml:space="preserve">วิทยาลัยการโรงแรมและการท่องเที่ยว (ตรัง) </t>
  </si>
  <si>
    <t>คณะวิศวกรรมศาสตร์และเทคโนโลยี (ตรัง)</t>
  </si>
  <si>
    <t xml:space="preserve">วิทยาลัยเทคโนโลยีอุตสาหกรรมและการจัดการ (ขนอม) </t>
  </si>
  <si>
    <t>ระดับปวส.</t>
  </si>
  <si>
    <t xml:space="preserve"> ต้นทุนหลักสูตรเฉลี่ย  สัดส่วนค่าใช้จ่ายเพื่อพัฒนานักศึกษา อาจารย์ บุคลากร การจัดการเรียนการสอน  ปีงปม.2563</t>
  </si>
  <si>
    <t xml:space="preserve"> ต้นทุนคณะหลักสูตรเฉลี่ย  สัดส่วนค่าใช้จ่ายเพื่อพัฒนานักศึกษา อาจารย์ บุคลากร การจัดการเรียนการสอน  ปีงปม.2563</t>
  </si>
  <si>
    <t>** จัดเรียงตามจำนวนักศึกษามากไปน้อยในแต่ละสาขาวิฃา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</si>
</sst>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#,##0.00_ ;\-#,##0.00\ "/>
    <numFmt numFmtId="200" formatCode="_-* #,##0.0000_-;\-* #,##0.0000_-;_-* &quot;-&quot;??_-;_-@_-"/>
    <numFmt numFmtId="20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b/>
      <i/>
      <sz val="14"/>
      <name val="TH SarabunPSK"/>
      <family val="2"/>
    </font>
    <font>
      <i/>
      <sz val="14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u val="single"/>
      <sz val="9.9"/>
      <color indexed="20"/>
      <name val="Tahoma"/>
      <family val="2"/>
    </font>
    <font>
      <u val="single"/>
      <sz val="9.9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i/>
      <sz val="16"/>
      <color indexed="8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u val="single"/>
      <sz val="9.9"/>
      <color theme="11"/>
      <name val="Tahoma"/>
      <family val="2"/>
    </font>
    <font>
      <u val="single"/>
      <sz val="9.9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i/>
      <sz val="16"/>
      <color theme="1"/>
      <name val="TH SarabunPSK"/>
      <family val="2"/>
    </font>
    <font>
      <sz val="14"/>
      <color rgb="FF0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/>
      <right/>
      <top style="double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43" fontId="6" fillId="33" borderId="10" xfId="33" applyFont="1" applyFill="1" applyBorder="1" applyAlignment="1">
      <alignment vertical="center"/>
    </xf>
    <xf numFmtId="43" fontId="2" fillId="33" borderId="0" xfId="33" applyFont="1" applyFill="1" applyAlignment="1">
      <alignment horizontal="center" vertical="center"/>
    </xf>
    <xf numFmtId="43" fontId="2" fillId="33" borderId="0" xfId="33" applyFont="1" applyFill="1" applyBorder="1" applyAlignment="1">
      <alignment vertical="center"/>
    </xf>
    <xf numFmtId="43" fontId="2" fillId="33" borderId="0" xfId="33" applyFont="1" applyFill="1" applyAlignment="1">
      <alignment vertical="center"/>
    </xf>
    <xf numFmtId="43" fontId="5" fillId="33" borderId="0" xfId="33" applyFont="1" applyFill="1" applyBorder="1" applyAlignment="1">
      <alignment vertical="center"/>
    </xf>
    <xf numFmtId="43" fontId="6" fillId="33" borderId="0" xfId="33" applyFont="1" applyFill="1" applyBorder="1" applyAlignment="1">
      <alignment vertical="center"/>
    </xf>
    <xf numFmtId="43" fontId="2" fillId="33" borderId="10" xfId="33" applyFont="1" applyFill="1" applyBorder="1" applyAlignment="1">
      <alignment horizontal="left" vertical="center"/>
    </xf>
    <xf numFmtId="43" fontId="6" fillId="33" borderId="11" xfId="33" applyFont="1" applyFill="1" applyBorder="1" applyAlignment="1">
      <alignment vertical="center"/>
    </xf>
    <xf numFmtId="43" fontId="5" fillId="33" borderId="12" xfId="33" applyFont="1" applyFill="1" applyBorder="1" applyAlignment="1">
      <alignment vertical="center"/>
    </xf>
    <xf numFmtId="43" fontId="6" fillId="33" borderId="13" xfId="33" applyFont="1" applyFill="1" applyBorder="1" applyAlignment="1">
      <alignment vertical="center"/>
    </xf>
    <xf numFmtId="43" fontId="6" fillId="33" borderId="10" xfId="33" applyFont="1" applyFill="1" applyBorder="1" applyAlignment="1">
      <alignment horizontal="center" vertical="center"/>
    </xf>
    <xf numFmtId="43" fontId="6" fillId="33" borderId="10" xfId="33" applyFont="1" applyFill="1" applyBorder="1" applyAlignment="1">
      <alignment horizontal="center" vertical="center" wrapText="1"/>
    </xf>
    <xf numFmtId="43" fontId="6" fillId="33" borderId="10" xfId="33" applyFont="1" applyFill="1" applyBorder="1" applyAlignment="1">
      <alignment horizontal="left" vertical="center"/>
    </xf>
    <xf numFmtId="43" fontId="6" fillId="33" borderId="10" xfId="33" applyFont="1" applyFill="1" applyBorder="1" applyAlignment="1">
      <alignment horizontal="right" vertical="center"/>
    </xf>
    <xf numFmtId="43" fontId="6" fillId="33" borderId="11" xfId="33" applyFont="1" applyFill="1" applyBorder="1" applyAlignment="1">
      <alignment horizontal="center" vertical="center"/>
    </xf>
    <xf numFmtId="43" fontId="5" fillId="33" borderId="14" xfId="33" applyFont="1" applyFill="1" applyBorder="1" applyAlignment="1">
      <alignment horizontal="center" vertical="center"/>
    </xf>
    <xf numFmtId="43" fontId="6" fillId="33" borderId="0" xfId="33" applyFont="1" applyFill="1" applyAlignment="1">
      <alignment vertical="center"/>
    </xf>
    <xf numFmtId="43" fontId="6" fillId="33" borderId="0" xfId="33" applyFont="1" applyFill="1" applyAlignment="1">
      <alignment horizontal="center" vertical="center"/>
    </xf>
    <xf numFmtId="43" fontId="6" fillId="33" borderId="15" xfId="33" applyFont="1" applyFill="1" applyBorder="1" applyAlignment="1">
      <alignment horizontal="center" vertical="center" wrapText="1"/>
    </xf>
    <xf numFmtId="43" fontId="6" fillId="33" borderId="15" xfId="33" applyFont="1" applyFill="1" applyBorder="1" applyAlignment="1">
      <alignment vertical="center"/>
    </xf>
    <xf numFmtId="43" fontId="5" fillId="33" borderId="16" xfId="33" applyFont="1" applyFill="1" applyBorder="1" applyAlignment="1">
      <alignment horizontal="center" vertical="center"/>
    </xf>
    <xf numFmtId="43" fontId="6" fillId="33" borderId="16" xfId="33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43" fontId="4" fillId="33" borderId="0" xfId="33" applyFont="1" applyFill="1" applyBorder="1" applyAlignment="1">
      <alignment vertical="center"/>
    </xf>
    <xf numFmtId="43" fontId="7" fillId="33" borderId="10" xfId="33" applyFont="1" applyFill="1" applyBorder="1" applyAlignment="1">
      <alignment horizontal="left" vertical="center"/>
    </xf>
    <xf numFmtId="43" fontId="5" fillId="33" borderId="0" xfId="33" applyFont="1" applyFill="1" applyBorder="1" applyAlignment="1">
      <alignment horizontal="center" vertical="center"/>
    </xf>
    <xf numFmtId="43" fontId="6" fillId="33" borderId="0" xfId="33" applyFont="1" applyFill="1" applyBorder="1" applyAlignment="1">
      <alignment horizontal="center" vertical="center"/>
    </xf>
    <xf numFmtId="43" fontId="5" fillId="33" borderId="0" xfId="33" applyFont="1" applyFill="1" applyAlignment="1">
      <alignment vertical="center"/>
    </xf>
    <xf numFmtId="43" fontId="6" fillId="33" borderId="17" xfId="33" applyFont="1" applyFill="1" applyBorder="1" applyAlignment="1">
      <alignment horizontal="center" vertical="center"/>
    </xf>
    <xf numFmtId="43" fontId="6" fillId="33" borderId="17" xfId="33" applyFont="1" applyFill="1" applyBorder="1" applyAlignment="1">
      <alignment horizontal="center" vertical="center" wrapText="1"/>
    </xf>
    <xf numFmtId="43" fontId="5" fillId="33" borderId="18" xfId="33" applyFont="1" applyFill="1" applyBorder="1" applyAlignment="1">
      <alignment horizontal="center" vertical="center"/>
    </xf>
    <xf numFmtId="43" fontId="6" fillId="33" borderId="19" xfId="33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3" fontId="8" fillId="33" borderId="10" xfId="33" applyFont="1" applyFill="1" applyBorder="1" applyAlignment="1">
      <alignment horizontal="center" vertical="center" wrapText="1"/>
    </xf>
    <xf numFmtId="43" fontId="6" fillId="33" borderId="10" xfId="33" applyFont="1" applyFill="1" applyBorder="1" applyAlignment="1">
      <alignment/>
    </xf>
    <xf numFmtId="43" fontId="6" fillId="33" borderId="0" xfId="33" applyFont="1" applyFill="1" applyBorder="1" applyAlignment="1">
      <alignment/>
    </xf>
    <xf numFmtId="43" fontId="6" fillId="33" borderId="20" xfId="33" applyFont="1" applyFill="1" applyBorder="1" applyAlignment="1">
      <alignment horizontal="center" vertical="center"/>
    </xf>
    <xf numFmtId="0" fontId="55" fillId="33" borderId="0" xfId="0" applyFont="1" applyFill="1" applyAlignment="1">
      <alignment/>
    </xf>
    <xf numFmtId="43" fontId="55" fillId="33" borderId="0" xfId="33" applyFont="1" applyFill="1" applyAlignment="1">
      <alignment/>
    </xf>
    <xf numFmtId="43" fontId="7" fillId="33" borderId="10" xfId="33" applyFont="1" applyFill="1" applyBorder="1" applyAlignment="1">
      <alignment vertical="center"/>
    </xf>
    <xf numFmtId="43" fontId="7" fillId="33" borderId="13" xfId="33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194" fontId="6" fillId="33" borderId="0" xfId="0" applyNumberFormat="1" applyFont="1" applyFill="1" applyBorder="1" applyAlignment="1">
      <alignment vertical="center"/>
    </xf>
    <xf numFmtId="43" fontId="5" fillId="34" borderId="18" xfId="33" applyFont="1" applyFill="1" applyBorder="1" applyAlignment="1">
      <alignment horizontal="center" vertical="center" wrapText="1"/>
    </xf>
    <xf numFmtId="43" fontId="6" fillId="33" borderId="11" xfId="33" applyFont="1" applyFill="1" applyBorder="1" applyAlignment="1">
      <alignment horizontal="left" vertical="center"/>
    </xf>
    <xf numFmtId="43" fontId="5" fillId="35" borderId="21" xfId="33" applyFont="1" applyFill="1" applyBorder="1" applyAlignment="1">
      <alignment horizontal="center" vertical="center"/>
    </xf>
    <xf numFmtId="43" fontId="6" fillId="0" borderId="10" xfId="33" applyFont="1" applyFill="1" applyBorder="1" applyAlignment="1">
      <alignment horizontal="left" vertical="center"/>
    </xf>
    <xf numFmtId="43" fontId="6" fillId="0" borderId="11" xfId="33" applyFont="1" applyFill="1" applyBorder="1" applyAlignment="1">
      <alignment horizontal="left" vertical="center"/>
    </xf>
    <xf numFmtId="43" fontId="5" fillId="33" borderId="0" xfId="33" applyFont="1" applyFill="1" applyBorder="1" applyAlignment="1">
      <alignment/>
    </xf>
    <xf numFmtId="43" fontId="5" fillId="36" borderId="14" xfId="33" applyFont="1" applyFill="1" applyBorder="1" applyAlignment="1">
      <alignment horizontal="center" vertical="center"/>
    </xf>
    <xf numFmtId="43" fontId="5" fillId="36" borderId="0" xfId="33" applyFont="1" applyFill="1" applyBorder="1" applyAlignment="1">
      <alignment vertical="center"/>
    </xf>
    <xf numFmtId="43" fontId="7" fillId="33" borderId="13" xfId="33" applyFont="1" applyFill="1" applyBorder="1" applyAlignment="1">
      <alignment horizontal="left" vertical="center"/>
    </xf>
    <xf numFmtId="43" fontId="54" fillId="0" borderId="0" xfId="33" applyFont="1" applyAlignment="1">
      <alignment/>
    </xf>
    <xf numFmtId="43" fontId="6" fillId="33" borderId="18" xfId="33" applyFont="1" applyFill="1" applyBorder="1" applyAlignment="1">
      <alignment vertical="center"/>
    </xf>
    <xf numFmtId="43" fontId="6" fillId="33" borderId="19" xfId="33" applyFont="1" applyFill="1" applyBorder="1" applyAlignment="1">
      <alignment vertical="center"/>
    </xf>
    <xf numFmtId="43" fontId="6" fillId="33" borderId="22" xfId="33" applyFont="1" applyFill="1" applyBorder="1" applyAlignment="1">
      <alignment vertical="center"/>
    </xf>
    <xf numFmtId="43" fontId="6" fillId="33" borderId="13" xfId="33" applyFont="1" applyFill="1" applyBorder="1" applyAlignment="1">
      <alignment/>
    </xf>
    <xf numFmtId="43" fontId="5" fillId="33" borderId="0" xfId="33" applyFont="1" applyFill="1" applyBorder="1" applyAlignment="1">
      <alignment/>
    </xf>
    <xf numFmtId="43" fontId="54" fillId="0" borderId="10" xfId="33" applyFont="1" applyBorder="1" applyAlignment="1">
      <alignment horizontal="center" vertical="center" wrapText="1"/>
    </xf>
    <xf numFmtId="43" fontId="54" fillId="0" borderId="10" xfId="33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43" fontId="54" fillId="0" borderId="10" xfId="33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Alignment="1">
      <alignment vertical="center"/>
    </xf>
    <xf numFmtId="43" fontId="5" fillId="34" borderId="10" xfId="33" applyFont="1" applyFill="1" applyBorder="1" applyAlignment="1">
      <alignment horizontal="center" vertical="center" wrapText="1"/>
    </xf>
    <xf numFmtId="43" fontId="55" fillId="33" borderId="0" xfId="33" applyFont="1" applyFill="1" applyBorder="1" applyAlignment="1">
      <alignment/>
    </xf>
    <xf numFmtId="43" fontId="55" fillId="33" borderId="0" xfId="33" applyFont="1" applyFill="1" applyAlignment="1">
      <alignment horizontal="center" vertical="center"/>
    </xf>
    <xf numFmtId="43" fontId="6" fillId="33" borderId="23" xfId="33" applyFont="1" applyFill="1" applyBorder="1" applyAlignment="1">
      <alignment vertical="center"/>
    </xf>
    <xf numFmtId="43" fontId="5" fillId="33" borderId="23" xfId="33" applyFont="1" applyFill="1" applyBorder="1" applyAlignment="1">
      <alignment vertical="center"/>
    </xf>
    <xf numFmtId="43" fontId="5" fillId="33" borderId="0" xfId="33" applyFont="1" applyFill="1" applyAlignment="1">
      <alignment/>
    </xf>
    <xf numFmtId="43" fontId="5" fillId="33" borderId="0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3" fontId="5" fillId="33" borderId="14" xfId="33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vertical="center"/>
    </xf>
    <xf numFmtId="43" fontId="6" fillId="33" borderId="24" xfId="33" applyFont="1" applyFill="1" applyBorder="1" applyAlignment="1">
      <alignment vertical="center"/>
    </xf>
    <xf numFmtId="43" fontId="56" fillId="0" borderId="10" xfId="33" applyFont="1" applyBorder="1" applyAlignment="1">
      <alignment/>
    </xf>
    <xf numFmtId="43" fontId="6" fillId="33" borderId="10" xfId="33" applyNumberFormat="1" applyFont="1" applyFill="1" applyBorder="1" applyAlignment="1">
      <alignment vertical="center"/>
    </xf>
    <xf numFmtId="43" fontId="6" fillId="33" borderId="10" xfId="33" applyNumberFormat="1" applyFont="1" applyFill="1" applyBorder="1" applyAlignment="1">
      <alignment horizontal="center" vertical="center"/>
    </xf>
    <xf numFmtId="43" fontId="6" fillId="33" borderId="10" xfId="33" applyNumberFormat="1" applyFont="1" applyFill="1" applyBorder="1" applyAlignment="1">
      <alignment horizontal="right" vertical="center"/>
    </xf>
    <xf numFmtId="43" fontId="57" fillId="33" borderId="10" xfId="33" applyFont="1" applyFill="1" applyBorder="1" applyAlignment="1">
      <alignment horizontal="center" vertical="center" wrapText="1"/>
    </xf>
    <xf numFmtId="43" fontId="6" fillId="33" borderId="11" xfId="33" applyNumberFormat="1" applyFont="1" applyFill="1" applyBorder="1" applyAlignment="1">
      <alignment horizontal="center" vertical="center"/>
    </xf>
    <xf numFmtId="43" fontId="6" fillId="33" borderId="11" xfId="33" applyNumberFormat="1" applyFont="1" applyFill="1" applyBorder="1" applyAlignment="1">
      <alignment horizontal="right" vertical="center"/>
    </xf>
    <xf numFmtId="43" fontId="5" fillId="33" borderId="21" xfId="33" applyNumberFormat="1" applyFont="1" applyFill="1" applyBorder="1" applyAlignment="1">
      <alignment horizontal="center" vertical="center"/>
    </xf>
    <xf numFmtId="43" fontId="6" fillId="33" borderId="13" xfId="33" applyNumberFormat="1" applyFont="1" applyFill="1" applyBorder="1" applyAlignment="1">
      <alignment horizontal="center" vertical="center"/>
    </xf>
    <xf numFmtId="43" fontId="6" fillId="33" borderId="13" xfId="33" applyNumberFormat="1" applyFont="1" applyFill="1" applyBorder="1" applyAlignment="1">
      <alignment vertical="center"/>
    </xf>
    <xf numFmtId="43" fontId="5" fillId="33" borderId="25" xfId="33" applyNumberFormat="1" applyFont="1" applyFill="1" applyBorder="1" applyAlignment="1">
      <alignment horizontal="center" vertical="center"/>
    </xf>
    <xf numFmtId="43" fontId="5" fillId="33" borderId="14" xfId="33" applyNumberFormat="1" applyFont="1" applyFill="1" applyBorder="1" applyAlignment="1">
      <alignment horizontal="center" vertical="center"/>
    </xf>
    <xf numFmtId="43" fontId="5" fillId="33" borderId="10" xfId="33" applyNumberFormat="1" applyFont="1" applyFill="1" applyBorder="1" applyAlignment="1">
      <alignment horizontal="center" vertical="center"/>
    </xf>
    <xf numFmtId="43" fontId="5" fillId="33" borderId="13" xfId="33" applyNumberFormat="1" applyFont="1" applyFill="1" applyBorder="1" applyAlignment="1">
      <alignment horizontal="center" vertical="center"/>
    </xf>
    <xf numFmtId="43" fontId="3" fillId="33" borderId="0" xfId="33" applyFont="1" applyFill="1" applyAlignment="1">
      <alignment horizontal="center" vertical="center"/>
    </xf>
    <xf numFmtId="43" fontId="4" fillId="33" borderId="0" xfId="33" applyFont="1" applyFill="1" applyAlignment="1">
      <alignment horizontal="center" vertical="center"/>
    </xf>
    <xf numFmtId="43" fontId="5" fillId="33" borderId="0" xfId="0" applyNumberFormat="1" applyFont="1" applyFill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57" fillId="33" borderId="26" xfId="33" applyFont="1" applyFill="1" applyBorder="1" applyAlignment="1">
      <alignment horizontal="left" wrapText="1"/>
    </xf>
    <xf numFmtId="43" fontId="6" fillId="33" borderId="24" xfId="33" applyFont="1" applyFill="1" applyBorder="1" applyAlignment="1">
      <alignment/>
    </xf>
    <xf numFmtId="49" fontId="54" fillId="0" borderId="0" xfId="0" applyNumberFormat="1" applyFont="1" applyAlignment="1">
      <alignment/>
    </xf>
    <xf numFmtId="49" fontId="54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/>
    </xf>
    <xf numFmtId="49" fontId="56" fillId="33" borderId="10" xfId="33" applyNumberFormat="1" applyFont="1" applyFill="1" applyBorder="1" applyAlignment="1">
      <alignment/>
    </xf>
    <xf numFmtId="43" fontId="6" fillId="33" borderId="11" xfId="33" applyFont="1" applyFill="1" applyBorder="1" applyAlignment="1">
      <alignment/>
    </xf>
    <xf numFmtId="0" fontId="56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33" applyFont="1" applyAlignment="1">
      <alignment/>
    </xf>
    <xf numFmtId="43" fontId="54" fillId="33" borderId="10" xfId="33" applyFont="1" applyFill="1" applyBorder="1" applyAlignment="1">
      <alignment/>
    </xf>
    <xf numFmtId="0" fontId="54" fillId="33" borderId="0" xfId="0" applyFont="1" applyFill="1" applyAlignment="1">
      <alignment/>
    </xf>
    <xf numFmtId="0" fontId="58" fillId="0" borderId="0" xfId="0" applyFont="1" applyAlignment="1">
      <alignment/>
    </xf>
    <xf numFmtId="43" fontId="11" fillId="33" borderId="10" xfId="33" applyFont="1" applyFill="1" applyBorder="1" applyAlignment="1">
      <alignment horizontal="left" vertical="center"/>
    </xf>
    <xf numFmtId="43" fontId="5" fillId="36" borderId="21" xfId="33" applyFont="1" applyFill="1" applyBorder="1" applyAlignment="1">
      <alignment horizontal="center" vertical="center"/>
    </xf>
    <xf numFmtId="43" fontId="6" fillId="33" borderId="21" xfId="33" applyFont="1" applyFill="1" applyBorder="1" applyAlignment="1">
      <alignment vertical="center"/>
    </xf>
    <xf numFmtId="201" fontId="6" fillId="33" borderId="10" xfId="33" applyNumberFormat="1" applyFont="1" applyFill="1" applyBorder="1" applyAlignment="1">
      <alignment horizontal="left" vertical="center"/>
    </xf>
    <xf numFmtId="43" fontId="5" fillId="36" borderId="25" xfId="33" applyFont="1" applyFill="1" applyBorder="1" applyAlignment="1">
      <alignment horizontal="center" vertical="center"/>
    </xf>
    <xf numFmtId="43" fontId="6" fillId="33" borderId="13" xfId="33" applyFont="1" applyFill="1" applyBorder="1" applyAlignment="1">
      <alignment horizontal="center" vertical="center"/>
    </xf>
    <xf numFmtId="43" fontId="6" fillId="36" borderId="21" xfId="33" applyFont="1" applyFill="1" applyBorder="1" applyAlignment="1">
      <alignment horizontal="center" vertical="center"/>
    </xf>
    <xf numFmtId="43" fontId="6" fillId="36" borderId="21" xfId="33" applyFont="1" applyFill="1" applyBorder="1" applyAlignment="1">
      <alignment vertical="center"/>
    </xf>
    <xf numFmtId="43" fontId="5" fillId="36" borderId="27" xfId="33" applyFont="1" applyFill="1" applyBorder="1" applyAlignment="1">
      <alignment horizontal="center" vertical="center"/>
    </xf>
    <xf numFmtId="43" fontId="6" fillId="36" borderId="27" xfId="33" applyFont="1" applyFill="1" applyBorder="1" applyAlignment="1">
      <alignment horizontal="center" vertical="center"/>
    </xf>
    <xf numFmtId="43" fontId="6" fillId="36" borderId="27" xfId="33" applyFont="1" applyFill="1" applyBorder="1" applyAlignment="1">
      <alignment vertical="center"/>
    </xf>
    <xf numFmtId="43" fontId="6" fillId="36" borderId="14" xfId="33" applyFont="1" applyFill="1" applyBorder="1" applyAlignment="1">
      <alignment horizontal="center" vertical="center"/>
    </xf>
    <xf numFmtId="43" fontId="6" fillId="36" borderId="14" xfId="33" applyFont="1" applyFill="1" applyBorder="1" applyAlignment="1">
      <alignment vertical="center"/>
    </xf>
    <xf numFmtId="43" fontId="6" fillId="33" borderId="28" xfId="33" applyFont="1" applyFill="1" applyBorder="1" applyAlignment="1">
      <alignment horizontal="center" vertical="center"/>
    </xf>
    <xf numFmtId="43" fontId="5" fillId="33" borderId="29" xfId="33" applyFont="1" applyFill="1" applyBorder="1" applyAlignment="1">
      <alignment vertical="center"/>
    </xf>
    <xf numFmtId="43" fontId="6" fillId="33" borderId="30" xfId="33" applyFont="1" applyFill="1" applyBorder="1" applyAlignment="1">
      <alignment vertical="center"/>
    </xf>
    <xf numFmtId="43" fontId="6" fillId="33" borderId="31" xfId="33" applyFont="1" applyFill="1" applyBorder="1" applyAlignment="1">
      <alignment vertical="center"/>
    </xf>
    <xf numFmtId="43" fontId="10" fillId="33" borderId="27" xfId="33" applyFont="1" applyFill="1" applyBorder="1" applyAlignment="1">
      <alignment vertical="center"/>
    </xf>
    <xf numFmtId="43" fontId="6" fillId="33" borderId="21" xfId="33" applyFont="1" applyFill="1" applyBorder="1" applyAlignment="1">
      <alignment horizontal="center" vertical="center"/>
    </xf>
    <xf numFmtId="43" fontId="6" fillId="33" borderId="32" xfId="33" applyFont="1" applyFill="1" applyBorder="1" applyAlignment="1">
      <alignment horizontal="center" vertical="center"/>
    </xf>
    <xf numFmtId="43" fontId="6" fillId="33" borderId="33" xfId="33" applyFont="1" applyFill="1" applyBorder="1" applyAlignment="1">
      <alignment vertical="center"/>
    </xf>
    <xf numFmtId="43" fontId="6" fillId="33" borderId="34" xfId="33" applyFont="1" applyFill="1" applyBorder="1" applyAlignment="1">
      <alignment vertical="center"/>
    </xf>
    <xf numFmtId="43" fontId="6" fillId="33" borderId="35" xfId="33" applyFont="1" applyFill="1" applyBorder="1" applyAlignment="1">
      <alignment vertical="center"/>
    </xf>
    <xf numFmtId="43" fontId="6" fillId="33" borderId="34" xfId="33" applyFont="1" applyFill="1" applyBorder="1" applyAlignment="1">
      <alignment horizontal="center" vertical="center"/>
    </xf>
    <xf numFmtId="43" fontId="5" fillId="36" borderId="20" xfId="33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3" fontId="5" fillId="33" borderId="10" xfId="33" applyFont="1" applyFill="1" applyBorder="1" applyAlignment="1">
      <alignment horizontal="center" vertical="center"/>
    </xf>
    <xf numFmtId="43" fontId="5" fillId="33" borderId="10" xfId="33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" fillId="33" borderId="27" xfId="0" applyFont="1" applyFill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43" fontId="5" fillId="33" borderId="27" xfId="33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horizontal="left" vertical="center"/>
    </xf>
    <xf numFmtId="0" fontId="54" fillId="19" borderId="0" xfId="0" applyFont="1" applyFill="1" applyAlignment="1">
      <alignment/>
    </xf>
    <xf numFmtId="0" fontId="54" fillId="0" borderId="10" xfId="0" applyFont="1" applyBorder="1" applyAlignment="1">
      <alignment horizontal="left"/>
    </xf>
    <xf numFmtId="0" fontId="54" fillId="19" borderId="10" xfId="0" applyFont="1" applyFill="1" applyBorder="1" applyAlignment="1">
      <alignment/>
    </xf>
    <xf numFmtId="43" fontId="54" fillId="19" borderId="10" xfId="33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19" borderId="0" xfId="0" applyFont="1" applyFill="1" applyAlignment="1">
      <alignment/>
    </xf>
    <xf numFmtId="0" fontId="58" fillId="0" borderId="10" xfId="0" applyFont="1" applyBorder="1" applyAlignment="1">
      <alignment/>
    </xf>
    <xf numFmtId="0" fontId="54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43" fontId="54" fillId="34" borderId="10" xfId="33" applyFont="1" applyFill="1" applyBorder="1" applyAlignment="1">
      <alignment/>
    </xf>
    <xf numFmtId="43" fontId="54" fillId="0" borderId="11" xfId="33" applyFont="1" applyBorder="1" applyAlignment="1">
      <alignment/>
    </xf>
    <xf numFmtId="43" fontId="54" fillId="33" borderId="11" xfId="33" applyFont="1" applyFill="1" applyBorder="1" applyAlignment="1">
      <alignment/>
    </xf>
    <xf numFmtId="43" fontId="54" fillId="0" borderId="14" xfId="0" applyNumberFormat="1" applyFont="1" applyBorder="1" applyAlignment="1">
      <alignment/>
    </xf>
    <xf numFmtId="43" fontId="54" fillId="33" borderId="14" xfId="0" applyNumberFormat="1" applyFont="1" applyFill="1" applyBorder="1" applyAlignment="1">
      <alignment/>
    </xf>
    <xf numFmtId="43" fontId="54" fillId="33" borderId="0" xfId="0" applyNumberFormat="1" applyFont="1" applyFill="1" applyAlignment="1">
      <alignment/>
    </xf>
    <xf numFmtId="0" fontId="7" fillId="33" borderId="14" xfId="0" applyFont="1" applyFill="1" applyBorder="1" applyAlignment="1">
      <alignment horizontal="center" vertical="center"/>
    </xf>
    <xf numFmtId="43" fontId="6" fillId="33" borderId="13" xfId="33" applyFont="1" applyFill="1" applyBorder="1" applyAlignment="1">
      <alignment horizontal="left" vertical="center"/>
    </xf>
    <xf numFmtId="0" fontId="59" fillId="33" borderId="1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43" fontId="5" fillId="33" borderId="10" xfId="33" applyFont="1" applyFill="1" applyBorder="1" applyAlignment="1">
      <alignment horizontal="center" vertical="center"/>
    </xf>
    <xf numFmtId="43" fontId="5" fillId="33" borderId="10" xfId="33" applyFont="1" applyFill="1" applyBorder="1" applyAlignment="1">
      <alignment horizontal="center" vertical="center" wrapText="1"/>
    </xf>
    <xf numFmtId="43" fontId="3" fillId="33" borderId="0" xfId="33" applyFont="1" applyFill="1" applyAlignment="1">
      <alignment horizontal="center" vertical="center"/>
    </xf>
    <xf numFmtId="43" fontId="3" fillId="33" borderId="12" xfId="33" applyFont="1" applyFill="1" applyBorder="1" applyAlignment="1">
      <alignment horizontal="left" vertical="center"/>
    </xf>
    <xf numFmtId="43" fontId="3" fillId="33" borderId="12" xfId="33" applyFont="1" applyFill="1" applyBorder="1" applyAlignment="1">
      <alignment horizontal="right" vertical="center"/>
    </xf>
    <xf numFmtId="43" fontId="5" fillId="34" borderId="10" xfId="33" applyFont="1" applyFill="1" applyBorder="1" applyAlignment="1">
      <alignment horizontal="center" vertical="center"/>
    </xf>
    <xf numFmtId="43" fontId="5" fillId="34" borderId="10" xfId="33" applyFont="1" applyFill="1" applyBorder="1" applyAlignment="1">
      <alignment horizontal="center" vertical="center" wrapText="1"/>
    </xf>
    <xf numFmtId="43" fontId="4" fillId="33" borderId="0" xfId="33" applyFont="1" applyFill="1" applyAlignment="1">
      <alignment horizontal="center" vertical="center"/>
    </xf>
    <xf numFmtId="43" fontId="3" fillId="0" borderId="12" xfId="33" applyFont="1" applyFill="1" applyBorder="1" applyAlignment="1">
      <alignment horizontal="left" vertical="center"/>
    </xf>
    <xf numFmtId="43" fontId="3" fillId="33" borderId="0" xfId="33" applyFont="1" applyFill="1" applyBorder="1" applyAlignment="1">
      <alignment horizontal="right" vertical="center"/>
    </xf>
    <xf numFmtId="43" fontId="5" fillId="33" borderId="0" xfId="33" applyFont="1" applyFill="1" applyAlignment="1">
      <alignment horizontal="center" vertical="center"/>
    </xf>
    <xf numFmtId="43" fontId="5" fillId="33" borderId="12" xfId="33" applyFont="1" applyFill="1" applyBorder="1" applyAlignment="1">
      <alignment horizontal="center" vertical="center"/>
    </xf>
    <xf numFmtId="43" fontId="5" fillId="33" borderId="15" xfId="33" applyFont="1" applyFill="1" applyBorder="1" applyAlignment="1">
      <alignment horizontal="center" vertical="center"/>
    </xf>
    <xf numFmtId="43" fontId="5" fillId="33" borderId="36" xfId="33" applyFont="1" applyFill="1" applyBorder="1" applyAlignment="1">
      <alignment horizontal="center" vertical="center"/>
    </xf>
    <xf numFmtId="43" fontId="5" fillId="33" borderId="17" xfId="33" applyFont="1" applyFill="1" applyBorder="1" applyAlignment="1">
      <alignment horizontal="center" vertical="center"/>
    </xf>
    <xf numFmtId="43" fontId="5" fillId="33" borderId="37" xfId="33" applyFont="1" applyFill="1" applyBorder="1" applyAlignment="1">
      <alignment horizontal="center" vertical="center"/>
    </xf>
    <xf numFmtId="43" fontId="9" fillId="33" borderId="27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57150</xdr:rowOff>
    </xdr:from>
    <xdr:to>
      <xdr:col>8</xdr:col>
      <xdr:colOff>333375</xdr:colOff>
      <xdr:row>31</xdr:row>
      <xdr:rowOff>180975</xdr:rowOff>
    </xdr:to>
    <xdr:grpSp>
      <xdr:nvGrpSpPr>
        <xdr:cNvPr id="1" name="กลุ่ม 30"/>
        <xdr:cNvGrpSpPr>
          <a:grpSpLocks/>
        </xdr:cNvGrpSpPr>
      </xdr:nvGrpSpPr>
      <xdr:grpSpPr>
        <a:xfrm>
          <a:off x="180975" y="895350"/>
          <a:ext cx="5114925" cy="5457825"/>
          <a:chOff x="0" y="1095375"/>
          <a:chExt cx="6229350" cy="8391525"/>
        </a:xfrm>
        <a:solidFill>
          <a:srgbClr val="FFFFFF"/>
        </a:solidFill>
      </xdr:grpSpPr>
      <xdr:sp>
        <xdr:nvSpPr>
          <xdr:cNvPr id="2" name="สี่เหลี่ยมผืนผ้า 2"/>
          <xdr:cNvSpPr>
            <a:spLocks/>
          </xdr:cNvSpPr>
        </xdr:nvSpPr>
        <xdr:spPr>
          <a:xfrm>
            <a:off x="1745775" y="1095375"/>
            <a:ext cx="2647474" cy="77411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เก็บข้อมูลจากหน่วยเบิกจ่าย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โดยแยกหน่วยงาน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/ ประเภทคชจ. / 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หล่งของเงิน ตามรูปแบบกรมบัญชีกลาง</a:t>
            </a:r>
          </a:p>
        </xdr:txBody>
      </xdr:sp>
      <xdr:sp>
        <xdr:nvSpPr>
          <xdr:cNvPr id="3" name="สี่เหลี่ยมผืนผ้า 3"/>
          <xdr:cNvSpPr>
            <a:spLocks/>
          </xdr:cNvSpPr>
        </xdr:nvSpPr>
        <xdr:spPr>
          <a:xfrm>
            <a:off x="10901" y="2352006"/>
            <a:ext cx="2242566" cy="70069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แยกประเภทคชจ.ออกเป็นมิติของผลผลิต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โดยแยกผลผลิตและแหล่งของเงินในแต่ละหน่วยงาน</a:t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0" y="3533113"/>
            <a:ext cx="2231665" cy="93145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ปันส่วนคชจ.หน่วยงานสนับสนุนให้หน่วยงานหลักในแต่ละประเภทผลผลิต โดยใช้เกณฑ์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FTES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ในการปันส่วน</a:t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0" y="4965966"/>
            <a:ext cx="2242566" cy="721671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ต้นทุนต่อหน่วยผลผลิต                   ตามเกณฑ์กรมบัญชีกลาง</a:t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4007029" y="3533113"/>
            <a:ext cx="2222321" cy="92097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แยกประเภทคชจ.ตามกลุ่ม                โดยแยกหน่วยงานหลัก/สนับสนุน</a:t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3977440" y="2331027"/>
            <a:ext cx="2231665" cy="71118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จัดกลุ่มประเภทคชจ.เพื่อใช้เป็นข้อมูลคำนวณสัดส่วนคชจ.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4007029" y="6254065"/>
            <a:ext cx="2222321" cy="732161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ปันส่วนคชจ.ของหน่วยงานหลัก  (คณะ/วิทยาลัย)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ให้กับสาขาวิชา                ในแต่ละคณะ โดยใช้ค่า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FTES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สาขา</a:t>
            </a:r>
          </a:p>
        </xdr:txBody>
      </xdr:sp>
      <xdr:sp>
        <xdr:nvSpPr>
          <xdr:cNvPr id="9" name="สี่เหลี่ยมผืนผ้า 9"/>
          <xdr:cNvSpPr>
            <a:spLocks/>
          </xdr:cNvSpPr>
        </xdr:nvSpPr>
        <xdr:spPr>
          <a:xfrm>
            <a:off x="3986784" y="4965966"/>
            <a:ext cx="2242566" cy="75313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ปันส่วนคชจ.หน่วยงานสนับสนุนให้หน่วยงานหลัก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โดยใช้ค่า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FTES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คณะ</a:t>
            </a:r>
          </a:p>
        </xdr:txBody>
      </xdr:sp>
      <xdr:sp>
        <xdr:nvSpPr>
          <xdr:cNvPr id="10" name="สี่เหลี่ยมผืนผ้า 10"/>
          <xdr:cNvSpPr>
            <a:spLocks/>
          </xdr:cNvSpPr>
        </xdr:nvSpPr>
        <xdr:spPr>
          <a:xfrm>
            <a:off x="4007029" y="7529577"/>
            <a:ext cx="2222321" cy="721671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ต้นทุนต่อหน่วยหลักสูตรสาขา                     สัดส่วนค่าใช้จ่ายตาม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สกอ.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   </a:t>
            </a:r>
          </a:p>
        </xdr:txBody>
      </xdr:sp>
      <xdr:sp>
        <xdr:nvSpPr>
          <xdr:cNvPr id="11" name="ลูกศรลง 11"/>
          <xdr:cNvSpPr>
            <a:spLocks/>
          </xdr:cNvSpPr>
        </xdr:nvSpPr>
        <xdr:spPr>
          <a:xfrm>
            <a:off x="1065219" y="3168082"/>
            <a:ext cx="141718" cy="283214"/>
          </a:xfrm>
          <a:prstGeom prst="downArrow">
            <a:avLst>
              <a:gd name="adj" fmla="val 2486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ลูกศรลง 12"/>
          <xdr:cNvSpPr>
            <a:spLocks/>
          </xdr:cNvSpPr>
        </xdr:nvSpPr>
        <xdr:spPr>
          <a:xfrm>
            <a:off x="5042659" y="3147103"/>
            <a:ext cx="141718" cy="283214"/>
          </a:xfrm>
          <a:prstGeom prst="downArrow">
            <a:avLst>
              <a:gd name="adj" fmla="val 2486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ลูกศรลง 13"/>
          <xdr:cNvSpPr>
            <a:spLocks/>
          </xdr:cNvSpPr>
        </xdr:nvSpPr>
        <xdr:spPr>
          <a:xfrm>
            <a:off x="1044973" y="4569466"/>
            <a:ext cx="152619" cy="283214"/>
          </a:xfrm>
          <a:prstGeom prst="downArrow">
            <a:avLst>
              <a:gd name="adj" fmla="val 23064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ลูกศรลง 14"/>
          <xdr:cNvSpPr>
            <a:spLocks/>
          </xdr:cNvSpPr>
        </xdr:nvSpPr>
        <xdr:spPr>
          <a:xfrm>
            <a:off x="5011512" y="4579956"/>
            <a:ext cx="141718" cy="283214"/>
          </a:xfrm>
          <a:prstGeom prst="downArrow">
            <a:avLst>
              <a:gd name="adj" fmla="val 2486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ลูกศรลง 15"/>
          <xdr:cNvSpPr>
            <a:spLocks/>
          </xdr:cNvSpPr>
        </xdr:nvSpPr>
        <xdr:spPr>
          <a:xfrm>
            <a:off x="5031757" y="5855468"/>
            <a:ext cx="141718" cy="283214"/>
          </a:xfrm>
          <a:prstGeom prst="downArrow">
            <a:avLst>
              <a:gd name="adj" fmla="val 2486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ลูกศรลง 16"/>
          <xdr:cNvSpPr>
            <a:spLocks/>
          </xdr:cNvSpPr>
        </xdr:nvSpPr>
        <xdr:spPr>
          <a:xfrm>
            <a:off x="5042659" y="7143567"/>
            <a:ext cx="141718" cy="272725"/>
          </a:xfrm>
          <a:prstGeom prst="downArrow">
            <a:avLst>
              <a:gd name="adj" fmla="val 23893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สี่เหลี่ยมผืนผ้า 17"/>
          <xdr:cNvSpPr>
            <a:spLocks/>
          </xdr:cNvSpPr>
        </xdr:nvSpPr>
        <xdr:spPr>
          <a:xfrm>
            <a:off x="3997685" y="8754739"/>
            <a:ext cx="2222321" cy="732161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คณะ/วิทยาลัย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วิเคราะห์ข้อมูล                 และนำข้อมูลไปใช้ประโยชน์                     ในระดับคณะ/วิทยาลัย</a:t>
            </a:r>
          </a:p>
        </xdr:txBody>
      </xdr:sp>
      <xdr:sp>
        <xdr:nvSpPr>
          <xdr:cNvPr id="18" name="ลูกศรลง 18"/>
          <xdr:cNvSpPr>
            <a:spLocks/>
          </xdr:cNvSpPr>
        </xdr:nvSpPr>
        <xdr:spPr>
          <a:xfrm>
            <a:off x="5072248" y="8377121"/>
            <a:ext cx="152619" cy="283214"/>
          </a:xfrm>
          <a:prstGeom prst="downArrow">
            <a:avLst>
              <a:gd name="adj" fmla="val 23064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ลูกศรซ้าย-ขวา-ขึ้น 19"/>
          <xdr:cNvSpPr>
            <a:spLocks/>
          </xdr:cNvSpPr>
        </xdr:nvSpPr>
        <xdr:spPr>
          <a:xfrm>
            <a:off x="2597639" y="1900961"/>
            <a:ext cx="903256" cy="763629"/>
          </a:xfrm>
          <a:custGeom>
            <a:pathLst>
              <a:path h="763817" w="902951">
                <a:moveTo>
                  <a:pt x="0" y="680698"/>
                </a:moveTo>
                <a:lnTo>
                  <a:pt x="190954" y="597580"/>
                </a:lnTo>
                <a:lnTo>
                  <a:pt x="190954" y="648125"/>
                </a:lnTo>
                <a:lnTo>
                  <a:pt x="418903" y="648125"/>
                </a:lnTo>
                <a:lnTo>
                  <a:pt x="418903" y="190954"/>
                </a:lnTo>
                <a:lnTo>
                  <a:pt x="368357" y="190954"/>
                </a:lnTo>
                <a:lnTo>
                  <a:pt x="451476" y="0"/>
                </a:lnTo>
                <a:lnTo>
                  <a:pt x="534594" y="190954"/>
                </a:lnTo>
                <a:lnTo>
                  <a:pt x="484048" y="190954"/>
                </a:lnTo>
                <a:lnTo>
                  <a:pt x="484048" y="648125"/>
                </a:lnTo>
                <a:lnTo>
                  <a:pt x="711997" y="648125"/>
                </a:lnTo>
                <a:lnTo>
                  <a:pt x="711997" y="597580"/>
                </a:lnTo>
                <a:lnTo>
                  <a:pt x="902951" y="680698"/>
                </a:lnTo>
                <a:lnTo>
                  <a:pt x="711997" y="763817"/>
                </a:lnTo>
                <a:lnTo>
                  <a:pt x="711997" y="713271"/>
                </a:lnTo>
                <a:lnTo>
                  <a:pt x="190954" y="713271"/>
                </a:lnTo>
                <a:lnTo>
                  <a:pt x="190954" y="763817"/>
                </a:lnTo>
                <a:lnTo>
                  <a:pt x="0" y="680698"/>
                </a:lnTo>
                <a:close/>
              </a:path>
            </a:pathLst>
          </a:cu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สี่เหลี่ยมผืนผ้า 20"/>
          <xdr:cNvSpPr>
            <a:spLocks/>
          </xdr:cNvSpPr>
        </xdr:nvSpPr>
        <xdr:spPr>
          <a:xfrm>
            <a:off x="0" y="6233086"/>
            <a:ext cx="2242566" cy="76362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วิเคราะห์เปรียบเทียบผลการคำนวณต้นทุนต่อหน่วยผลผลิตระหว่างปีงปม.</a:t>
            </a:r>
          </a:p>
        </xdr:txBody>
      </xdr:sp>
      <xdr:sp>
        <xdr:nvSpPr>
          <xdr:cNvPr id="21" name="สี่เหลี่ยมผืนผ้า 21"/>
          <xdr:cNvSpPr>
            <a:spLocks/>
          </xdr:cNvSpPr>
        </xdr:nvSpPr>
        <xdr:spPr>
          <a:xfrm>
            <a:off x="0" y="7498109"/>
            <a:ext cx="2242566" cy="74265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จัดทำแผนเพิ่มประสิทธิภาพการ                   ลดค่าใช้จ่ายและการปรับปรุงกิจกรรม</a:t>
            </a:r>
          </a:p>
        </xdr:txBody>
      </xdr:sp>
      <xdr:sp>
        <xdr:nvSpPr>
          <xdr:cNvPr id="22" name="สี่เหลี่ยมผืนผ้า 22"/>
          <xdr:cNvSpPr>
            <a:spLocks/>
          </xdr:cNvSpPr>
        </xdr:nvSpPr>
        <xdr:spPr>
          <a:xfrm>
            <a:off x="0" y="8754739"/>
            <a:ext cx="2242566" cy="721671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รายงานผลตามแผนเพิ่มประสิทธิภาพฯ</a:t>
            </a:r>
          </a:p>
        </xdr:txBody>
      </xdr:sp>
      <xdr:sp>
        <xdr:nvSpPr>
          <xdr:cNvPr id="23" name="ลูกศรลง 23"/>
          <xdr:cNvSpPr>
            <a:spLocks/>
          </xdr:cNvSpPr>
        </xdr:nvSpPr>
        <xdr:spPr>
          <a:xfrm>
            <a:off x="1034072" y="5813510"/>
            <a:ext cx="141718" cy="272725"/>
          </a:xfrm>
          <a:prstGeom prst="downArrow">
            <a:avLst>
              <a:gd name="adj" fmla="val 23893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ลูกศรลง 24"/>
          <xdr:cNvSpPr>
            <a:spLocks/>
          </xdr:cNvSpPr>
        </xdr:nvSpPr>
        <xdr:spPr>
          <a:xfrm>
            <a:off x="1013827" y="7101609"/>
            <a:ext cx="152619" cy="293703"/>
          </a:xfrm>
          <a:prstGeom prst="downArrow">
            <a:avLst>
              <a:gd name="adj" fmla="val 2402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ลูกศรลง 25"/>
          <xdr:cNvSpPr>
            <a:spLocks/>
          </xdr:cNvSpPr>
        </xdr:nvSpPr>
        <xdr:spPr>
          <a:xfrm>
            <a:off x="1024728" y="8335163"/>
            <a:ext cx="141718" cy="272725"/>
          </a:xfrm>
          <a:prstGeom prst="downArrow">
            <a:avLst>
              <a:gd name="adj" fmla="val 23893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L12" sqref="L12"/>
    </sheetView>
  </sheetViews>
  <sheetFormatPr defaultColWidth="9.140625" defaultRowHeight="15"/>
  <cols>
    <col min="1" max="2" width="9.00390625" style="23" customWidth="1"/>
    <col min="3" max="3" width="11.421875" style="23" customWidth="1"/>
    <col min="4" max="16384" width="9.00390625" style="23" customWidth="1"/>
  </cols>
  <sheetData>
    <row r="1" spans="1:9" s="112" customFormat="1" ht="21">
      <c r="A1" s="174" t="s">
        <v>279</v>
      </c>
      <c r="B1" s="174"/>
      <c r="C1" s="174"/>
      <c r="D1" s="174"/>
      <c r="E1" s="174" t="s">
        <v>280</v>
      </c>
      <c r="F1" s="174"/>
      <c r="G1" s="174"/>
      <c r="H1" s="174"/>
      <c r="I1" s="174"/>
    </row>
    <row r="2" spans="1:9" s="117" customFormat="1" ht="21">
      <c r="A2" s="175" t="s">
        <v>281</v>
      </c>
      <c r="B2" s="175"/>
      <c r="C2" s="175"/>
      <c r="D2" s="175"/>
      <c r="E2" s="175" t="s">
        <v>282</v>
      </c>
      <c r="F2" s="175"/>
      <c r="G2" s="175"/>
      <c r="H2" s="175"/>
      <c r="I2" s="175"/>
    </row>
    <row r="3" spans="1:9" ht="24" customHeight="1">
      <c r="A3" s="176" t="s">
        <v>283</v>
      </c>
      <c r="B3" s="176"/>
      <c r="C3" s="176"/>
      <c r="D3" s="176"/>
      <c r="F3" s="177" t="s">
        <v>284</v>
      </c>
      <c r="G3" s="177"/>
      <c r="H3" s="177"/>
      <c r="I3" s="177"/>
    </row>
  </sheetData>
  <sheetProtection/>
  <mergeCells count="6">
    <mergeCell ref="A1:D1"/>
    <mergeCell ref="E1:I1"/>
    <mergeCell ref="A2:D2"/>
    <mergeCell ref="E2:I2"/>
    <mergeCell ref="A3:D3"/>
    <mergeCell ref="F3:I3"/>
  </mergeCells>
  <printOptions/>
  <pageMargins left="0.7" right="0.7" top="0.75" bottom="0.43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A1">
      <selection activeCell="D13" sqref="D13"/>
    </sheetView>
  </sheetViews>
  <sheetFormatPr defaultColWidth="9.140625" defaultRowHeight="21" customHeight="1"/>
  <cols>
    <col min="1" max="1" width="40.00390625" style="0" bestFit="1" customWidth="1"/>
    <col min="2" max="2" width="12.7109375" style="0" customWidth="1"/>
    <col min="3" max="3" width="11.8515625" style="0" customWidth="1"/>
    <col min="4" max="4" width="12.00390625" style="0" customWidth="1"/>
    <col min="5" max="5" width="11.00390625" style="0" customWidth="1"/>
    <col min="6" max="6" width="11.140625" style="0" customWidth="1"/>
    <col min="7" max="7" width="6.8515625" style="0" customWidth="1"/>
    <col min="8" max="8" width="11.140625" style="0" customWidth="1"/>
    <col min="9" max="9" width="11.00390625" style="0" customWidth="1"/>
    <col min="10" max="10" width="6.8515625" style="0" customWidth="1"/>
    <col min="11" max="11" width="12.7109375" style="0" customWidth="1"/>
    <col min="12" max="12" width="13.8515625" style="0" customWidth="1"/>
    <col min="13" max="13" width="6.8515625" style="0" customWidth="1"/>
    <col min="14" max="14" width="12.7109375" style="0" customWidth="1"/>
    <col min="15" max="15" width="12.00390625" style="0" customWidth="1"/>
    <col min="16" max="16" width="6.8515625" style="0" customWidth="1"/>
    <col min="17" max="17" width="12.00390625" style="0" customWidth="1"/>
    <col min="18" max="18" width="11.8515625" style="0" customWidth="1"/>
    <col min="19" max="19" width="6.8515625" style="0" customWidth="1"/>
    <col min="20" max="21" width="11.8515625" style="0" customWidth="1"/>
    <col min="22" max="22" width="6.8515625" style="0" customWidth="1"/>
    <col min="23" max="23" width="14.421875" style="0" customWidth="1"/>
    <col min="24" max="24" width="13.00390625" style="0" customWidth="1"/>
    <col min="25" max="25" width="12.00390625" style="0" customWidth="1"/>
    <col min="26" max="26" width="14.140625" style="0" bestFit="1" customWidth="1"/>
    <col min="28" max="28" width="12.28125" style="114" bestFit="1" customWidth="1"/>
    <col min="29" max="31" width="10.421875" style="0" bestFit="1" customWidth="1"/>
  </cols>
  <sheetData>
    <row r="1" spans="1:26" ht="21" customHeight="1">
      <c r="A1" s="180" t="s">
        <v>305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ht="21" customHeight="1">
      <c r="A2" s="180" t="s">
        <v>183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ht="21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ht="21" customHeight="1">
      <c r="A4" s="181" t="s">
        <v>263</v>
      </c>
      <c r="B4" s="181"/>
      <c r="C4" s="181"/>
      <c r="D4" s="181"/>
      <c r="E4" s="181"/>
      <c r="F4" s="181"/>
      <c r="G4" s="181"/>
      <c r="H4" s="18"/>
      <c r="I4" s="18"/>
      <c r="J4" s="18"/>
      <c r="K4" s="18"/>
      <c r="L4" s="18"/>
      <c r="M4" s="18"/>
      <c r="N4" s="18"/>
      <c r="O4" s="18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6" ht="21" customHeight="1">
      <c r="A5" s="178" t="s">
        <v>3</v>
      </c>
      <c r="B5" s="178" t="s">
        <v>137</v>
      </c>
      <c r="C5" s="178"/>
      <c r="D5" s="178"/>
      <c r="E5" s="178" t="s">
        <v>138</v>
      </c>
      <c r="F5" s="178"/>
      <c r="G5" s="178"/>
      <c r="H5" s="178" t="s">
        <v>139</v>
      </c>
      <c r="I5" s="178"/>
      <c r="J5" s="178"/>
      <c r="K5" s="178" t="s">
        <v>140</v>
      </c>
      <c r="L5" s="178"/>
      <c r="M5" s="178"/>
      <c r="N5" s="178" t="s">
        <v>141</v>
      </c>
      <c r="O5" s="178"/>
      <c r="P5" s="178"/>
      <c r="Q5" s="178" t="s">
        <v>142</v>
      </c>
      <c r="R5" s="178"/>
      <c r="S5" s="178"/>
      <c r="T5" s="178" t="s">
        <v>143</v>
      </c>
      <c r="U5" s="178"/>
      <c r="V5" s="178"/>
      <c r="W5" s="178" t="s">
        <v>144</v>
      </c>
      <c r="X5" s="178"/>
      <c r="Y5" s="178"/>
      <c r="Z5" s="179" t="s">
        <v>4</v>
      </c>
    </row>
    <row r="6" spans="1:26" ht="21" customHeight="1">
      <c r="A6" s="178"/>
      <c r="B6" s="11" t="s">
        <v>0</v>
      </c>
      <c r="C6" s="11" t="s">
        <v>1</v>
      </c>
      <c r="D6" s="11" t="s">
        <v>5</v>
      </c>
      <c r="E6" s="11" t="s">
        <v>0</v>
      </c>
      <c r="F6" s="11" t="s">
        <v>1</v>
      </c>
      <c r="G6" s="11" t="s">
        <v>5</v>
      </c>
      <c r="H6" s="11" t="s">
        <v>0</v>
      </c>
      <c r="I6" s="11" t="s">
        <v>1</v>
      </c>
      <c r="J6" s="11" t="s">
        <v>5</v>
      </c>
      <c r="K6" s="11" t="s">
        <v>0</v>
      </c>
      <c r="L6" s="11" t="s">
        <v>1</v>
      </c>
      <c r="M6" s="11" t="s">
        <v>5</v>
      </c>
      <c r="N6" s="11" t="s">
        <v>0</v>
      </c>
      <c r="O6" s="11" t="s">
        <v>1</v>
      </c>
      <c r="P6" s="11" t="s">
        <v>5</v>
      </c>
      <c r="Q6" s="11" t="s">
        <v>0</v>
      </c>
      <c r="R6" s="11" t="s">
        <v>1</v>
      </c>
      <c r="S6" s="11" t="s">
        <v>5</v>
      </c>
      <c r="T6" s="11" t="s">
        <v>0</v>
      </c>
      <c r="U6" s="11" t="s">
        <v>1</v>
      </c>
      <c r="V6" s="11" t="s">
        <v>5</v>
      </c>
      <c r="W6" s="11" t="s">
        <v>0</v>
      </c>
      <c r="X6" s="11" t="s">
        <v>1</v>
      </c>
      <c r="Y6" s="11" t="s">
        <v>5</v>
      </c>
      <c r="Z6" s="178"/>
    </row>
    <row r="7" spans="1:26" ht="21" customHeight="1">
      <c r="A7" s="40" t="s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88"/>
      <c r="X7" s="88"/>
      <c r="Y7" s="88"/>
      <c r="Z7" s="88"/>
    </row>
    <row r="8" spans="1:31" ht="21" customHeight="1">
      <c r="A8" s="13" t="s">
        <v>255</v>
      </c>
      <c r="B8" s="11">
        <v>31579004.17</v>
      </c>
      <c r="C8" s="11">
        <v>5556081.85</v>
      </c>
      <c r="D8" s="11">
        <f>119813.13+1485631.35</f>
        <v>1605444.48</v>
      </c>
      <c r="E8" s="11">
        <v>0</v>
      </c>
      <c r="F8" s="11">
        <v>15600</v>
      </c>
      <c r="G8" s="11">
        <v>0</v>
      </c>
      <c r="H8" s="11"/>
      <c r="I8" s="11">
        <v>0</v>
      </c>
      <c r="J8" s="11">
        <v>0</v>
      </c>
      <c r="K8" s="11">
        <v>5164565.49</v>
      </c>
      <c r="L8" s="11">
        <v>10357943.55</v>
      </c>
      <c r="M8" s="11">
        <v>0</v>
      </c>
      <c r="N8" s="11">
        <v>33935307.05</v>
      </c>
      <c r="O8" s="11">
        <v>3371506.14</v>
      </c>
      <c r="P8" s="11">
        <v>0</v>
      </c>
      <c r="Q8" s="11">
        <v>130000</v>
      </c>
      <c r="R8" s="11">
        <v>4846700</v>
      </c>
      <c r="S8" s="11">
        <v>0</v>
      </c>
      <c r="T8" s="11">
        <v>10968413</v>
      </c>
      <c r="U8" s="11">
        <v>1296894</v>
      </c>
      <c r="V8" s="11">
        <v>0</v>
      </c>
      <c r="W8" s="1">
        <f>+B8+E8+H8+K8+N8+Q8+T8</f>
        <v>81777289.71000001</v>
      </c>
      <c r="X8" s="1">
        <f>+C8+F8+I8+L8+O8+R8+U8</f>
        <v>25444725.54</v>
      </c>
      <c r="Y8" s="1">
        <f>+D8+G8+J8+M8+P8+S8+V8</f>
        <v>1605444.48</v>
      </c>
      <c r="Z8" s="1">
        <f>+W8+X8+Y8</f>
        <v>108827459.73</v>
      </c>
      <c r="AC8" s="113"/>
      <c r="AD8" s="113"/>
      <c r="AE8" s="113"/>
    </row>
    <row r="9" spans="1:30" ht="21" customHeight="1">
      <c r="A9" s="13" t="s">
        <v>256</v>
      </c>
      <c r="B9" s="11">
        <v>16141449.35</v>
      </c>
      <c r="C9" s="11">
        <v>4530460.48</v>
      </c>
      <c r="D9" s="11">
        <f>158288.82+1962713.41</f>
        <v>2121002.23</v>
      </c>
      <c r="E9" s="11">
        <v>0</v>
      </c>
      <c r="F9" s="11">
        <v>38700</v>
      </c>
      <c r="G9" s="11">
        <v>0</v>
      </c>
      <c r="H9" s="11"/>
      <c r="I9" s="11">
        <v>0</v>
      </c>
      <c r="J9" s="11">
        <v>0</v>
      </c>
      <c r="K9" s="11">
        <v>3549734.65</v>
      </c>
      <c r="L9" s="11">
        <v>12286532.76</v>
      </c>
      <c r="M9" s="11">
        <v>0</v>
      </c>
      <c r="N9" s="11">
        <v>23441020.5</v>
      </c>
      <c r="O9" s="11">
        <v>2183785.33</v>
      </c>
      <c r="P9" s="11">
        <v>0</v>
      </c>
      <c r="Q9" s="11">
        <v>19500</v>
      </c>
      <c r="R9" s="11">
        <v>2629629.28</v>
      </c>
      <c r="S9" s="11">
        <v>0</v>
      </c>
      <c r="T9" s="11">
        <v>350000</v>
      </c>
      <c r="U9" s="11">
        <v>3134628</v>
      </c>
      <c r="V9" s="11">
        <v>0</v>
      </c>
      <c r="W9" s="1">
        <f aca="true" t="shared" si="0" ref="W9:Y24">+B9+E9+H9+K9+N9+Q9+T9</f>
        <v>43501704.5</v>
      </c>
      <c r="X9" s="1">
        <f t="shared" si="0"/>
        <v>24803735.85</v>
      </c>
      <c r="Y9" s="1">
        <f t="shared" si="0"/>
        <v>2121002.23</v>
      </c>
      <c r="Z9" s="1">
        <f aca="true" t="shared" si="1" ref="Z9:Z24">+W9+X9+Y9</f>
        <v>70426442.58</v>
      </c>
      <c r="AC9" s="113"/>
      <c r="AD9" s="113"/>
    </row>
    <row r="10" spans="1:30" ht="21" customHeight="1">
      <c r="A10" s="13" t="s">
        <v>257</v>
      </c>
      <c r="B10" s="11">
        <v>29279800</v>
      </c>
      <c r="C10" s="11">
        <v>4492879.03</v>
      </c>
      <c r="D10" s="11">
        <f>75750.14+939269.16</f>
        <v>1015019.3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6537573.74</v>
      </c>
      <c r="L10" s="11">
        <v>5458880.21</v>
      </c>
      <c r="M10" s="11">
        <v>0</v>
      </c>
      <c r="N10" s="11">
        <v>14067708.33</v>
      </c>
      <c r="O10" s="11">
        <v>3010423.52</v>
      </c>
      <c r="P10" s="11">
        <v>0</v>
      </c>
      <c r="Q10" s="11">
        <v>0</v>
      </c>
      <c r="R10" s="11">
        <v>3895180</v>
      </c>
      <c r="S10" s="11">
        <v>0</v>
      </c>
      <c r="T10" s="11">
        <v>151640</v>
      </c>
      <c r="U10" s="11">
        <v>2653230.5</v>
      </c>
      <c r="V10" s="11">
        <v>0</v>
      </c>
      <c r="W10" s="1">
        <f t="shared" si="0"/>
        <v>50036722.07</v>
      </c>
      <c r="X10" s="1">
        <f t="shared" si="0"/>
        <v>19510593.259999998</v>
      </c>
      <c r="Y10" s="1">
        <f t="shared" si="0"/>
        <v>1015019.3</v>
      </c>
      <c r="Z10" s="1">
        <f t="shared" si="1"/>
        <v>70562334.63</v>
      </c>
      <c r="AC10" s="113"/>
      <c r="AD10" s="113"/>
    </row>
    <row r="11" spans="1:26" ht="21" customHeight="1">
      <c r="A11" s="13" t="s">
        <v>258</v>
      </c>
      <c r="B11" s="11">
        <v>15591894.39</v>
      </c>
      <c r="C11" s="11">
        <v>853920</v>
      </c>
      <c r="D11" s="11">
        <f>26870.07+333177.34</f>
        <v>360047.41000000003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1329898.28</v>
      </c>
      <c r="L11" s="11">
        <v>1656901.55</v>
      </c>
      <c r="M11" s="11">
        <v>0</v>
      </c>
      <c r="N11" s="11">
        <v>5244245.43</v>
      </c>
      <c r="O11" s="11">
        <v>382778.6</v>
      </c>
      <c r="P11" s="11">
        <v>0</v>
      </c>
      <c r="Q11" s="11">
        <v>0</v>
      </c>
      <c r="R11" s="11">
        <v>593160</v>
      </c>
      <c r="S11" s="11">
        <v>0</v>
      </c>
      <c r="T11" s="11">
        <v>179000</v>
      </c>
      <c r="U11" s="11">
        <v>856081</v>
      </c>
      <c r="V11" s="11">
        <v>0</v>
      </c>
      <c r="W11" s="1">
        <f t="shared" si="0"/>
        <v>22345038.1</v>
      </c>
      <c r="X11" s="1">
        <f t="shared" si="0"/>
        <v>4342841.15</v>
      </c>
      <c r="Y11" s="1">
        <f t="shared" si="0"/>
        <v>360047.41000000003</v>
      </c>
      <c r="Z11" s="1">
        <f t="shared" si="1"/>
        <v>27047926.66</v>
      </c>
    </row>
    <row r="12" spans="1:26" ht="21" customHeight="1">
      <c r="A12" s="13" t="s">
        <v>259</v>
      </c>
      <c r="B12" s="11">
        <v>17668954.99</v>
      </c>
      <c r="C12" s="11">
        <v>2273328.61</v>
      </c>
      <c r="D12" s="11">
        <f>39252.2+486710.46</f>
        <v>525962.66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2476481.86</v>
      </c>
      <c r="L12" s="11">
        <v>2529647.61</v>
      </c>
      <c r="M12" s="11">
        <v>0</v>
      </c>
      <c r="N12" s="11">
        <v>13166910.65</v>
      </c>
      <c r="O12" s="11">
        <v>2511169.78</v>
      </c>
      <c r="P12" s="11">
        <v>0</v>
      </c>
      <c r="Q12" s="11">
        <v>0</v>
      </c>
      <c r="R12" s="11">
        <v>792681</v>
      </c>
      <c r="S12" s="11">
        <v>0</v>
      </c>
      <c r="T12" s="11">
        <v>211450</v>
      </c>
      <c r="U12" s="11">
        <v>1341398</v>
      </c>
      <c r="V12" s="11">
        <v>0</v>
      </c>
      <c r="W12" s="1">
        <f t="shared" si="0"/>
        <v>33523797.5</v>
      </c>
      <c r="X12" s="1">
        <f t="shared" si="0"/>
        <v>9448225</v>
      </c>
      <c r="Y12" s="1">
        <f t="shared" si="0"/>
        <v>525962.66</v>
      </c>
      <c r="Z12" s="1">
        <f t="shared" si="1"/>
        <v>43497985.16</v>
      </c>
    </row>
    <row r="13" spans="1:26" ht="21" customHeight="1">
      <c r="A13" s="13" t="s">
        <v>260</v>
      </c>
      <c r="B13" s="11">
        <v>15325657.2</v>
      </c>
      <c r="C13" s="11">
        <v>1499824.13</v>
      </c>
      <c r="D13" s="11">
        <f>15086.63+187067.74</f>
        <v>202154.37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2313704.07</v>
      </c>
      <c r="L13" s="11">
        <v>1701884.87</v>
      </c>
      <c r="M13" s="11">
        <v>0</v>
      </c>
      <c r="N13" s="11">
        <v>8534052.47</v>
      </c>
      <c r="O13" s="11">
        <v>1190009.04</v>
      </c>
      <c r="P13" s="11">
        <v>0</v>
      </c>
      <c r="Q13" s="11">
        <v>0</v>
      </c>
      <c r="R13" s="11">
        <v>569150</v>
      </c>
      <c r="S13" s="11">
        <v>0</v>
      </c>
      <c r="T13" s="11">
        <v>738700</v>
      </c>
      <c r="U13" s="11">
        <v>389660</v>
      </c>
      <c r="V13" s="11">
        <v>0</v>
      </c>
      <c r="W13" s="1">
        <f t="shared" si="0"/>
        <v>26912113.740000002</v>
      </c>
      <c r="X13" s="1">
        <f t="shared" si="0"/>
        <v>5350528.04</v>
      </c>
      <c r="Y13" s="1">
        <f t="shared" si="0"/>
        <v>202154.37</v>
      </c>
      <c r="Z13" s="1">
        <f t="shared" si="1"/>
        <v>32464796.150000002</v>
      </c>
    </row>
    <row r="14" spans="1:26" ht="21" customHeight="1">
      <c r="A14" s="13" t="s">
        <v>13</v>
      </c>
      <c r="B14" s="89">
        <v>0</v>
      </c>
      <c r="C14" s="89">
        <v>0</v>
      </c>
      <c r="D14" s="89">
        <v>5793.82</v>
      </c>
      <c r="E14" s="89">
        <v>0</v>
      </c>
      <c r="F14" s="89">
        <v>0</v>
      </c>
      <c r="G14" s="89">
        <v>0</v>
      </c>
      <c r="H14" s="89">
        <v>52671</v>
      </c>
      <c r="I14" s="89">
        <v>0</v>
      </c>
      <c r="J14" s="89">
        <v>0</v>
      </c>
      <c r="K14" s="89">
        <v>247328.72</v>
      </c>
      <c r="L14" s="89">
        <v>49994</v>
      </c>
      <c r="M14" s="88">
        <v>0</v>
      </c>
      <c r="N14" s="89">
        <v>836884.1799999999</v>
      </c>
      <c r="O14" s="89">
        <v>426298.52999999997</v>
      </c>
      <c r="P14" s="89">
        <v>0</v>
      </c>
      <c r="Q14" s="90">
        <v>0</v>
      </c>
      <c r="R14" s="90">
        <v>0</v>
      </c>
      <c r="S14" s="89">
        <v>0</v>
      </c>
      <c r="T14" s="89">
        <v>0</v>
      </c>
      <c r="U14" s="89">
        <v>289400</v>
      </c>
      <c r="V14" s="89">
        <v>0</v>
      </c>
      <c r="W14" s="1">
        <v>1136883.9</v>
      </c>
      <c r="X14" s="1">
        <v>765692.53</v>
      </c>
      <c r="Y14" s="1">
        <f t="shared" si="0"/>
        <v>5793.82</v>
      </c>
      <c r="Z14" s="1">
        <f t="shared" si="1"/>
        <v>1908370.25</v>
      </c>
    </row>
    <row r="15" spans="1:26" ht="21" customHeight="1">
      <c r="A15" s="13" t="s">
        <v>14</v>
      </c>
      <c r="B15" s="11">
        <v>33785737.44</v>
      </c>
      <c r="C15" s="11">
        <v>3155767.02</v>
      </c>
      <c r="D15" s="11">
        <v>403781.61</v>
      </c>
      <c r="E15" s="11"/>
      <c r="F15" s="11"/>
      <c r="G15" s="11"/>
      <c r="H15" s="11"/>
      <c r="I15" s="11">
        <v>19376</v>
      </c>
      <c r="J15" s="11"/>
      <c r="K15" s="11">
        <v>1429352.59</v>
      </c>
      <c r="L15" s="11">
        <v>460979.11</v>
      </c>
      <c r="M15" s="11">
        <v>0</v>
      </c>
      <c r="N15" s="6">
        <v>5683462.84</v>
      </c>
      <c r="O15" s="11">
        <v>1470416</v>
      </c>
      <c r="P15" s="11"/>
      <c r="Q15" s="14">
        <v>2244584.2</v>
      </c>
      <c r="R15" s="14">
        <v>1256532</v>
      </c>
      <c r="S15" s="11"/>
      <c r="T15" s="11">
        <v>20000</v>
      </c>
      <c r="U15" s="11"/>
      <c r="V15" s="11"/>
      <c r="W15" s="1">
        <f>+B15+E15+H15+K15+N15+Q15+T15</f>
        <v>43163137.07000001</v>
      </c>
      <c r="X15" s="1">
        <f>+C15+F15+I15+L15+O15+R15+U15</f>
        <v>6363070.13</v>
      </c>
      <c r="Y15" s="1">
        <f t="shared" si="0"/>
        <v>403781.61</v>
      </c>
      <c r="Z15" s="1">
        <f t="shared" si="1"/>
        <v>49929988.81000001</v>
      </c>
    </row>
    <row r="16" spans="1:26" ht="21" customHeight="1">
      <c r="A16" s="13" t="s">
        <v>15</v>
      </c>
      <c r="B16" s="89">
        <v>16382158.059999999</v>
      </c>
      <c r="C16" s="89">
        <v>510270.44</v>
      </c>
      <c r="D16" s="89">
        <v>74762.39</v>
      </c>
      <c r="E16" s="89">
        <v>0</v>
      </c>
      <c r="F16" s="89">
        <v>355143</v>
      </c>
      <c r="G16" s="89"/>
      <c r="H16" s="89">
        <v>90864.12</v>
      </c>
      <c r="I16" s="89">
        <v>17994</v>
      </c>
      <c r="J16" s="89">
        <v>0</v>
      </c>
      <c r="K16" s="89">
        <v>1194253.06</v>
      </c>
      <c r="L16" s="89">
        <v>462983.4</v>
      </c>
      <c r="M16" s="89">
        <v>0</v>
      </c>
      <c r="N16" s="89">
        <v>8319122.83</v>
      </c>
      <c r="O16" s="89">
        <v>890780.61</v>
      </c>
      <c r="P16" s="89">
        <v>0</v>
      </c>
      <c r="Q16" s="90"/>
      <c r="R16" s="90"/>
      <c r="S16" s="89"/>
      <c r="T16" s="89">
        <v>0</v>
      </c>
      <c r="U16" s="89">
        <v>288437</v>
      </c>
      <c r="V16" s="89">
        <v>0</v>
      </c>
      <c r="W16" s="1">
        <v>25986398.07</v>
      </c>
      <c r="X16" s="1">
        <v>2525608.4499999997</v>
      </c>
      <c r="Y16" s="1">
        <f t="shared" si="0"/>
        <v>74762.39</v>
      </c>
      <c r="Z16" s="1">
        <f t="shared" si="1"/>
        <v>28586768.91</v>
      </c>
    </row>
    <row r="17" spans="1:26" ht="21" customHeight="1">
      <c r="A17" s="13" t="s">
        <v>16</v>
      </c>
      <c r="B17" s="1"/>
      <c r="C17" s="91">
        <v>2274000.16</v>
      </c>
      <c r="D17" s="11">
        <v>341769.21</v>
      </c>
      <c r="E17" s="1"/>
      <c r="F17" s="1">
        <v>21474</v>
      </c>
      <c r="G17" s="11"/>
      <c r="H17" s="1"/>
      <c r="I17" s="1">
        <v>54609</v>
      </c>
      <c r="J17" s="11"/>
      <c r="K17" s="1">
        <v>577236</v>
      </c>
      <c r="L17" s="91">
        <v>1605070.5</v>
      </c>
      <c r="M17" s="11">
        <v>0</v>
      </c>
      <c r="N17" s="11">
        <v>1427940.12</v>
      </c>
      <c r="O17" s="1">
        <v>856556.24</v>
      </c>
      <c r="P17" s="11"/>
      <c r="Q17" s="1">
        <v>536436</v>
      </c>
      <c r="R17" s="91">
        <v>908948</v>
      </c>
      <c r="S17" s="11"/>
      <c r="T17" s="1">
        <v>60000</v>
      </c>
      <c r="U17" s="91"/>
      <c r="V17" s="11"/>
      <c r="W17" s="1">
        <f>+B17+E17+H17+K17+N17+Q17+T17</f>
        <v>2601612.12</v>
      </c>
      <c r="X17" s="1">
        <f>+C17+F17+I17+L17+O17+R17+U17</f>
        <v>5720657.9</v>
      </c>
      <c r="Y17" s="1">
        <f t="shared" si="0"/>
        <v>341769.21</v>
      </c>
      <c r="Z17" s="1">
        <f t="shared" si="1"/>
        <v>8664039.23</v>
      </c>
    </row>
    <row r="18" spans="1:26" ht="21" customHeight="1">
      <c r="A18" s="13" t="s">
        <v>17</v>
      </c>
      <c r="B18" s="89">
        <v>5582164.28</v>
      </c>
      <c r="C18" s="89">
        <v>358290.57</v>
      </c>
      <c r="D18" s="89">
        <v>58603.22</v>
      </c>
      <c r="E18" s="89">
        <v>0</v>
      </c>
      <c r="F18" s="89">
        <v>56400</v>
      </c>
      <c r="G18" s="89">
        <v>0</v>
      </c>
      <c r="H18" s="89">
        <v>16676</v>
      </c>
      <c r="I18" s="89">
        <v>11640</v>
      </c>
      <c r="J18" s="89">
        <v>0</v>
      </c>
      <c r="K18" s="89">
        <v>629811.55</v>
      </c>
      <c r="L18" s="89">
        <v>456661.36</v>
      </c>
      <c r="M18" s="89">
        <v>0</v>
      </c>
      <c r="N18" s="89">
        <v>3636583.41</v>
      </c>
      <c r="O18" s="89">
        <v>101447.84</v>
      </c>
      <c r="P18" s="89">
        <v>0</v>
      </c>
      <c r="Q18" s="90"/>
      <c r="R18" s="90"/>
      <c r="S18" s="89"/>
      <c r="T18" s="89">
        <v>0</v>
      </c>
      <c r="U18" s="89">
        <v>313684.8</v>
      </c>
      <c r="V18" s="89">
        <v>0</v>
      </c>
      <c r="W18" s="1">
        <v>9865235.239999998</v>
      </c>
      <c r="X18" s="1">
        <v>1298124.57</v>
      </c>
      <c r="Y18" s="1">
        <f t="shared" si="0"/>
        <v>58603.22</v>
      </c>
      <c r="Z18" s="1">
        <f t="shared" si="1"/>
        <v>11221963.03</v>
      </c>
    </row>
    <row r="19" spans="1:26" ht="21" customHeight="1">
      <c r="A19" s="13" t="s">
        <v>18</v>
      </c>
      <c r="B19" s="89">
        <v>21458442.6</v>
      </c>
      <c r="C19" s="89">
        <v>3138125.82</v>
      </c>
      <c r="D19" s="89">
        <v>154917.16</v>
      </c>
      <c r="E19" s="89">
        <v>0</v>
      </c>
      <c r="F19" s="89">
        <v>192400</v>
      </c>
      <c r="G19" s="89">
        <v>0</v>
      </c>
      <c r="H19" s="89">
        <v>69194.49</v>
      </c>
      <c r="I19" s="89">
        <v>191589.74</v>
      </c>
      <c r="J19" s="89">
        <v>0</v>
      </c>
      <c r="K19" s="89">
        <v>972508.17</v>
      </c>
      <c r="L19" s="89">
        <v>1508637.76</v>
      </c>
      <c r="M19" s="11">
        <v>0</v>
      </c>
      <c r="N19" s="89">
        <v>12705430.05</v>
      </c>
      <c r="O19" s="89">
        <v>1010096.66</v>
      </c>
      <c r="P19" s="89">
        <v>0</v>
      </c>
      <c r="Q19" s="90"/>
      <c r="R19" s="90"/>
      <c r="S19" s="89"/>
      <c r="T19" s="89">
        <v>0</v>
      </c>
      <c r="U19" s="89">
        <v>1255521.8399999999</v>
      </c>
      <c r="V19" s="89">
        <v>0</v>
      </c>
      <c r="W19" s="1">
        <v>35205575.31</v>
      </c>
      <c r="X19" s="1">
        <v>7296371.82</v>
      </c>
      <c r="Y19" s="1">
        <f t="shared" si="0"/>
        <v>154917.16</v>
      </c>
      <c r="Z19" s="1">
        <f t="shared" si="1"/>
        <v>42656864.29</v>
      </c>
    </row>
    <row r="20" spans="1:26" ht="21" customHeight="1">
      <c r="A20" s="13" t="s">
        <v>19</v>
      </c>
      <c r="B20" s="11">
        <v>20098566.92</v>
      </c>
      <c r="C20" s="11">
        <v>6414134.23</v>
      </c>
      <c r="D20" s="11">
        <v>729493.5</v>
      </c>
      <c r="E20" s="11"/>
      <c r="F20" s="11"/>
      <c r="G20" s="11"/>
      <c r="H20" s="11"/>
      <c r="I20" s="11"/>
      <c r="J20" s="11"/>
      <c r="K20" s="11">
        <v>385021.99</v>
      </c>
      <c r="L20" s="11">
        <v>1964208.94</v>
      </c>
      <c r="M20" s="89">
        <v>0</v>
      </c>
      <c r="N20" s="11">
        <v>4240751.52</v>
      </c>
      <c r="O20" s="11">
        <v>2302467.58</v>
      </c>
      <c r="P20" s="11"/>
      <c r="Q20" s="14">
        <v>1220216.16</v>
      </c>
      <c r="R20" s="14">
        <v>376390</v>
      </c>
      <c r="S20" s="11"/>
      <c r="T20" s="11">
        <v>20000</v>
      </c>
      <c r="U20" s="11"/>
      <c r="V20" s="11"/>
      <c r="W20" s="1">
        <f>+B20+E20+H20+K20+N20+Q20+T20</f>
        <v>25964556.59</v>
      </c>
      <c r="X20" s="1">
        <f>+C20+F20+I20+L20+O20+R20+U20</f>
        <v>11057200.75</v>
      </c>
      <c r="Y20" s="1">
        <f t="shared" si="0"/>
        <v>729493.5</v>
      </c>
      <c r="Z20" s="1">
        <f t="shared" si="1"/>
        <v>37751250.84</v>
      </c>
    </row>
    <row r="21" spans="1:26" ht="21" customHeight="1">
      <c r="A21" s="13" t="s">
        <v>20</v>
      </c>
      <c r="B21" s="89">
        <v>21540739.36</v>
      </c>
      <c r="C21" s="89">
        <v>1615659.48</v>
      </c>
      <c r="D21" s="89">
        <f>152140+205180.16</f>
        <v>357320.16000000003</v>
      </c>
      <c r="E21" s="88">
        <v>158375</v>
      </c>
      <c r="F21" s="88">
        <v>424526.64</v>
      </c>
      <c r="G21" s="89">
        <v>0</v>
      </c>
      <c r="H21" s="89">
        <v>93258</v>
      </c>
      <c r="I21" s="89">
        <v>15892</v>
      </c>
      <c r="J21" s="89">
        <v>0</v>
      </c>
      <c r="K21" s="89">
        <v>1548735.06</v>
      </c>
      <c r="L21" s="89">
        <v>473359.08</v>
      </c>
      <c r="M21" s="11">
        <v>0</v>
      </c>
      <c r="N21" s="89">
        <v>5234329.81</v>
      </c>
      <c r="O21" s="89">
        <v>466495.2</v>
      </c>
      <c r="P21" s="89">
        <v>0</v>
      </c>
      <c r="Q21" s="89"/>
      <c r="R21" s="89">
        <v>1862700</v>
      </c>
      <c r="S21" s="89">
        <v>0</v>
      </c>
      <c r="T21" s="90">
        <v>0</v>
      </c>
      <c r="U21" s="90">
        <v>0</v>
      </c>
      <c r="V21" s="89">
        <v>0</v>
      </c>
      <c r="W21" s="1">
        <f aca="true" t="shared" si="2" ref="W21:X24">+B21+E21+H21+K21+N21+Q21+T21</f>
        <v>28575437.229999997</v>
      </c>
      <c r="X21" s="1">
        <f t="shared" si="2"/>
        <v>4858632.4</v>
      </c>
      <c r="Y21" s="1">
        <f t="shared" si="0"/>
        <v>357320.16000000003</v>
      </c>
      <c r="Z21" s="1">
        <f t="shared" si="1"/>
        <v>33791389.78999999</v>
      </c>
    </row>
    <row r="22" spans="1:26" ht="21" customHeight="1">
      <c r="A22" s="118" t="s">
        <v>292</v>
      </c>
      <c r="B22" s="89">
        <v>15879285.85</v>
      </c>
      <c r="C22" s="89">
        <v>2388340.98</v>
      </c>
      <c r="D22" s="89">
        <f>12982+282021.61</f>
        <v>295003.61</v>
      </c>
      <c r="E22" s="89">
        <v>75000</v>
      </c>
      <c r="F22" s="89">
        <f>296594+39483</f>
        <v>336077</v>
      </c>
      <c r="G22" s="89">
        <v>0</v>
      </c>
      <c r="H22" s="89">
        <v>198151.99</v>
      </c>
      <c r="I22" s="89">
        <f>118355.1+101336.48</f>
        <v>219691.58000000002</v>
      </c>
      <c r="J22" s="89">
        <v>0</v>
      </c>
      <c r="K22" s="89">
        <v>743076.15</v>
      </c>
      <c r="L22" s="89">
        <f>890817.4+28748</f>
        <v>919565.4</v>
      </c>
      <c r="M22" s="89">
        <v>0</v>
      </c>
      <c r="N22" s="89">
        <v>1660947.26</v>
      </c>
      <c r="O22" s="89">
        <v>284166.04</v>
      </c>
      <c r="P22" s="89">
        <v>0</v>
      </c>
      <c r="Q22" s="90"/>
      <c r="R22" s="90">
        <f>1386460+67800</f>
        <v>1454260</v>
      </c>
      <c r="S22" s="89">
        <v>0</v>
      </c>
      <c r="T22" s="89">
        <v>0</v>
      </c>
      <c r="U22" s="89">
        <v>0</v>
      </c>
      <c r="V22" s="89">
        <v>0</v>
      </c>
      <c r="W22" s="1">
        <f t="shared" si="2"/>
        <v>18556461.25</v>
      </c>
      <c r="X22" s="1">
        <f t="shared" si="2"/>
        <v>5602101</v>
      </c>
      <c r="Y22" s="1">
        <f t="shared" si="0"/>
        <v>295003.61</v>
      </c>
      <c r="Z22" s="1">
        <f t="shared" si="1"/>
        <v>24453565.86</v>
      </c>
    </row>
    <row r="23" spans="1:26" ht="21" customHeight="1">
      <c r="A23" s="50" t="s">
        <v>213</v>
      </c>
      <c r="B23" s="92">
        <v>8486151.62</v>
      </c>
      <c r="C23" s="92">
        <v>1619768.22</v>
      </c>
      <c r="D23" s="89">
        <f>96620+255760.7</f>
        <v>352380.7</v>
      </c>
      <c r="E23" s="89">
        <v>79360</v>
      </c>
      <c r="F23" s="89">
        <f>170928.07</f>
        <v>170928.07</v>
      </c>
      <c r="G23" s="89">
        <v>0</v>
      </c>
      <c r="H23" s="89">
        <v>101797</v>
      </c>
      <c r="I23" s="89">
        <v>20891</v>
      </c>
      <c r="J23" s="89">
        <v>0</v>
      </c>
      <c r="K23" s="92">
        <v>1062220.41</v>
      </c>
      <c r="L23" s="92">
        <v>863066.17</v>
      </c>
      <c r="M23" s="11">
        <v>0</v>
      </c>
      <c r="N23" s="92">
        <v>1611382.79</v>
      </c>
      <c r="O23" s="92">
        <v>16580.86</v>
      </c>
      <c r="P23" s="89">
        <v>0</v>
      </c>
      <c r="Q23" s="93"/>
      <c r="R23" s="93">
        <v>1186750</v>
      </c>
      <c r="S23" s="89">
        <v>0</v>
      </c>
      <c r="T23" s="92">
        <v>0</v>
      </c>
      <c r="U23" s="92">
        <v>0</v>
      </c>
      <c r="V23" s="89">
        <v>0</v>
      </c>
      <c r="W23" s="1">
        <f t="shared" si="2"/>
        <v>11340911.82</v>
      </c>
      <c r="X23" s="1">
        <f t="shared" si="2"/>
        <v>3877984.32</v>
      </c>
      <c r="Y23" s="1">
        <f t="shared" si="0"/>
        <v>352380.7</v>
      </c>
      <c r="Z23" s="1">
        <f t="shared" si="1"/>
        <v>15571276.84</v>
      </c>
    </row>
    <row r="24" spans="1:26" ht="21" customHeight="1" thickBot="1">
      <c r="A24" s="50" t="s">
        <v>214</v>
      </c>
      <c r="B24" s="92">
        <v>2178360</v>
      </c>
      <c r="C24" s="92">
        <v>2152121</v>
      </c>
      <c r="D24" s="89">
        <f>53772.5+234179.19</f>
        <v>287951.69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93">
        <v>2635924.63</v>
      </c>
      <c r="L24" s="93">
        <v>1274425.2</v>
      </c>
      <c r="M24" s="89">
        <v>0</v>
      </c>
      <c r="N24" s="93">
        <v>18148339.35</v>
      </c>
      <c r="O24" s="93">
        <v>1654892.11</v>
      </c>
      <c r="P24" s="89">
        <v>0</v>
      </c>
      <c r="Q24" s="93">
        <v>24414255.83</v>
      </c>
      <c r="R24" s="93">
        <v>1141500</v>
      </c>
      <c r="S24" s="89">
        <v>0</v>
      </c>
      <c r="T24" s="92">
        <v>0</v>
      </c>
      <c r="U24" s="92">
        <v>756604</v>
      </c>
      <c r="V24" s="89">
        <v>0</v>
      </c>
      <c r="W24" s="1">
        <f t="shared" si="2"/>
        <v>47376879.81</v>
      </c>
      <c r="X24" s="1">
        <f t="shared" si="2"/>
        <v>6979542.3100000005</v>
      </c>
      <c r="Y24" s="8">
        <f t="shared" si="0"/>
        <v>287951.69</v>
      </c>
      <c r="Z24" s="1">
        <f t="shared" si="1"/>
        <v>54644373.81</v>
      </c>
    </row>
    <row r="25" spans="1:26" ht="21" customHeight="1" thickBot="1">
      <c r="A25" s="119" t="s">
        <v>22</v>
      </c>
      <c r="B25" s="94">
        <f>SUM(B8:B24)</f>
        <v>270978366.23</v>
      </c>
      <c r="C25" s="94">
        <f aca="true" t="shared" si="3" ref="C25:X25">SUM(C8:C24)</f>
        <v>42832972.019999996</v>
      </c>
      <c r="D25" s="94">
        <f>SUM(D8:D24)</f>
        <v>8891407.52</v>
      </c>
      <c r="E25" s="94">
        <f t="shared" si="3"/>
        <v>312735</v>
      </c>
      <c r="F25" s="94">
        <f t="shared" si="3"/>
        <v>1611248.7100000002</v>
      </c>
      <c r="G25" s="94">
        <f t="shared" si="3"/>
        <v>0</v>
      </c>
      <c r="H25" s="94">
        <f t="shared" si="3"/>
        <v>622612.6</v>
      </c>
      <c r="I25" s="94">
        <f t="shared" si="3"/>
        <v>551683.3200000001</v>
      </c>
      <c r="J25" s="94">
        <f t="shared" si="3"/>
        <v>0</v>
      </c>
      <c r="K25" s="94">
        <f t="shared" si="3"/>
        <v>32797426.419999994</v>
      </c>
      <c r="L25" s="94">
        <f t="shared" si="3"/>
        <v>44030741.47</v>
      </c>
      <c r="M25" s="94">
        <f t="shared" si="3"/>
        <v>0</v>
      </c>
      <c r="N25" s="94">
        <f t="shared" si="3"/>
        <v>161894418.59</v>
      </c>
      <c r="O25" s="94">
        <f t="shared" si="3"/>
        <v>22129870.079999994</v>
      </c>
      <c r="P25" s="94">
        <f t="shared" si="3"/>
        <v>0</v>
      </c>
      <c r="Q25" s="94">
        <f t="shared" si="3"/>
        <v>28564992.189999998</v>
      </c>
      <c r="R25" s="94">
        <f t="shared" si="3"/>
        <v>21513580.28</v>
      </c>
      <c r="S25" s="94">
        <f t="shared" si="3"/>
        <v>0</v>
      </c>
      <c r="T25" s="94">
        <f t="shared" si="3"/>
        <v>12699203</v>
      </c>
      <c r="U25" s="94">
        <f t="shared" si="3"/>
        <v>12575539.14</v>
      </c>
      <c r="V25" s="94">
        <f t="shared" si="3"/>
        <v>0</v>
      </c>
      <c r="W25" s="94">
        <f t="shared" si="3"/>
        <v>507869754.03000003</v>
      </c>
      <c r="X25" s="94">
        <f t="shared" si="3"/>
        <v>145245635.02</v>
      </c>
      <c r="Y25" s="120">
        <f aca="true" t="shared" si="4" ref="Y25:Y33">+D25+G25+J25+M25+P25+S25+V25</f>
        <v>8891407.52</v>
      </c>
      <c r="Z25" s="94">
        <f>SUM(Z8:Z24)</f>
        <v>662006796.5699999</v>
      </c>
    </row>
    <row r="26" spans="1:26" ht="21" customHeight="1">
      <c r="A26" s="41" t="s">
        <v>23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88"/>
      <c r="X26" s="88"/>
      <c r="Y26" s="10">
        <f t="shared" si="4"/>
        <v>0</v>
      </c>
      <c r="Z26" s="96"/>
    </row>
    <row r="27" spans="1:26" ht="21" customHeight="1">
      <c r="A27" s="1" t="s">
        <v>261</v>
      </c>
      <c r="B27" s="11">
        <v>274444007.52</v>
      </c>
      <c r="C27" s="11">
        <v>5843996.58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41795085.57</v>
      </c>
      <c r="L27" s="11">
        <v>38351674.05</v>
      </c>
      <c r="M27" s="11">
        <v>0</v>
      </c>
      <c r="N27" s="18">
        <v>15278926.21</v>
      </c>
      <c r="O27" s="11">
        <v>7802584.32</v>
      </c>
      <c r="P27" s="11">
        <v>0</v>
      </c>
      <c r="Q27" s="11">
        <v>3510920</v>
      </c>
      <c r="R27" s="11">
        <v>28528200</v>
      </c>
      <c r="S27" s="11">
        <v>0</v>
      </c>
      <c r="T27" s="11">
        <v>7692249</v>
      </c>
      <c r="U27" s="11">
        <v>19364569.94</v>
      </c>
      <c r="V27" s="11">
        <v>0</v>
      </c>
      <c r="W27" s="1">
        <f aca="true" t="shared" si="5" ref="W27:X29">+B27+E27+H27+K27+N27+Q27+T27</f>
        <v>342721188.29999995</v>
      </c>
      <c r="X27" s="1">
        <f t="shared" si="5"/>
        <v>99891024.88999999</v>
      </c>
      <c r="Y27" s="1">
        <f t="shared" si="4"/>
        <v>0</v>
      </c>
      <c r="Z27" s="1">
        <f>+W27+X27+Y27</f>
        <v>442612213.18999994</v>
      </c>
    </row>
    <row r="28" spans="1:26" ht="21" customHeight="1">
      <c r="A28" s="121" t="s">
        <v>262</v>
      </c>
      <c r="B28" s="11">
        <v>0</v>
      </c>
      <c r="C28" s="11">
        <v>3132583.83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6575383.8</v>
      </c>
      <c r="L28" s="11">
        <v>2282796.65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298334</v>
      </c>
      <c r="S28" s="11">
        <v>0</v>
      </c>
      <c r="T28" s="11">
        <v>0</v>
      </c>
      <c r="U28" s="11">
        <v>3646907.1</v>
      </c>
      <c r="V28" s="11">
        <v>0</v>
      </c>
      <c r="W28" s="1">
        <f t="shared" si="5"/>
        <v>6575383.8</v>
      </c>
      <c r="X28" s="1">
        <f t="shared" si="5"/>
        <v>9360621.58</v>
      </c>
      <c r="Y28" s="1">
        <f t="shared" si="4"/>
        <v>0</v>
      </c>
      <c r="Z28" s="1">
        <f aca="true" t="shared" si="6" ref="Z28:Z33">+W28+X28+Y28</f>
        <v>15936005.379999999</v>
      </c>
    </row>
    <row r="29" spans="1:26" ht="21" customHeight="1">
      <c r="A29" s="1" t="s">
        <v>25</v>
      </c>
      <c r="B29" s="11">
        <v>3731803.07</v>
      </c>
      <c r="C29" s="11">
        <v>3914853.35</v>
      </c>
      <c r="D29" s="11"/>
      <c r="E29" s="11"/>
      <c r="F29" s="11">
        <v>10020</v>
      </c>
      <c r="G29" s="11"/>
      <c r="H29" s="11"/>
      <c r="I29" s="11">
        <v>18752</v>
      </c>
      <c r="J29" s="11"/>
      <c r="K29" s="11">
        <v>798645</v>
      </c>
      <c r="L29" s="11">
        <v>3701410.83</v>
      </c>
      <c r="M29" s="11">
        <v>0</v>
      </c>
      <c r="N29" s="11">
        <v>1148502.86</v>
      </c>
      <c r="O29" s="11">
        <v>4239054.38</v>
      </c>
      <c r="P29" s="11"/>
      <c r="Q29" s="11">
        <v>2055593.84</v>
      </c>
      <c r="R29" s="11"/>
      <c r="S29" s="11"/>
      <c r="T29" s="11">
        <v>100000</v>
      </c>
      <c r="U29" s="11"/>
      <c r="V29" s="11"/>
      <c r="W29" s="1">
        <f t="shared" si="5"/>
        <v>7834544.7700000005</v>
      </c>
      <c r="X29" s="1">
        <f t="shared" si="5"/>
        <v>11884090.559999999</v>
      </c>
      <c r="Y29" s="1">
        <f t="shared" si="4"/>
        <v>0</v>
      </c>
      <c r="Z29" s="1">
        <f t="shared" si="6"/>
        <v>19718635.33</v>
      </c>
    </row>
    <row r="30" spans="1:26" ht="21" customHeight="1">
      <c r="A30" s="1" t="s">
        <v>26</v>
      </c>
      <c r="B30" s="89">
        <v>6224080.57</v>
      </c>
      <c r="C30" s="89">
        <v>1791369.55</v>
      </c>
      <c r="D30" s="89">
        <v>0</v>
      </c>
      <c r="E30" s="89">
        <v>64190.5</v>
      </c>
      <c r="F30" s="89">
        <v>338331</v>
      </c>
      <c r="G30" s="89">
        <v>0</v>
      </c>
      <c r="H30" s="89">
        <v>119309.4</v>
      </c>
      <c r="I30" s="89">
        <v>72780.4</v>
      </c>
      <c r="J30" s="89">
        <v>0</v>
      </c>
      <c r="K30" s="89">
        <v>4314318.57</v>
      </c>
      <c r="L30" s="89">
        <v>598880.27</v>
      </c>
      <c r="M30" s="89">
        <v>0</v>
      </c>
      <c r="N30" s="89">
        <v>15211692.809999999</v>
      </c>
      <c r="O30" s="89">
        <v>1139368.28</v>
      </c>
      <c r="P30" s="89">
        <v>0</v>
      </c>
      <c r="Q30" s="89">
        <v>0</v>
      </c>
      <c r="R30" s="89">
        <v>0</v>
      </c>
      <c r="S30" s="89">
        <v>0</v>
      </c>
      <c r="T30" s="89">
        <v>5300</v>
      </c>
      <c r="U30" s="89">
        <v>10100</v>
      </c>
      <c r="V30" s="89">
        <v>0</v>
      </c>
      <c r="W30" s="1">
        <v>25938891.849999998</v>
      </c>
      <c r="X30" s="1">
        <v>3950829.5</v>
      </c>
      <c r="Y30" s="1">
        <f t="shared" si="4"/>
        <v>0</v>
      </c>
      <c r="Z30" s="1">
        <f t="shared" si="6"/>
        <v>29889721.349999998</v>
      </c>
    </row>
    <row r="31" spans="1:26" ht="21" customHeight="1">
      <c r="A31" s="1" t="s">
        <v>27</v>
      </c>
      <c r="B31" s="89">
        <v>10124914.65</v>
      </c>
      <c r="C31" s="89">
        <v>4934424.37</v>
      </c>
      <c r="D31" s="89">
        <v>64713</v>
      </c>
      <c r="E31" s="89">
        <v>118100</v>
      </c>
      <c r="F31" s="89">
        <v>52120</v>
      </c>
      <c r="G31" s="89">
        <v>0</v>
      </c>
      <c r="H31" s="89">
        <v>98478.32</v>
      </c>
      <c r="I31" s="89">
        <v>3760</v>
      </c>
      <c r="J31" s="89">
        <v>0</v>
      </c>
      <c r="K31" s="89">
        <v>4226531.97</v>
      </c>
      <c r="L31" s="89">
        <v>3677067.57</v>
      </c>
      <c r="M31" s="89">
        <v>0</v>
      </c>
      <c r="N31" s="89">
        <v>2861040.29</v>
      </c>
      <c r="O31" s="89">
        <v>2712223.23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50000</v>
      </c>
      <c r="V31" s="89">
        <v>0</v>
      </c>
      <c r="W31" s="1">
        <f aca="true" t="shared" si="7" ref="W31:X33">+B31+E31+H31+K31+N31+Q31+T31</f>
        <v>17429065.23</v>
      </c>
      <c r="X31" s="1">
        <f t="shared" si="7"/>
        <v>11429595.17</v>
      </c>
      <c r="Y31" s="1">
        <f t="shared" si="4"/>
        <v>64713</v>
      </c>
      <c r="Z31" s="1">
        <f t="shared" si="6"/>
        <v>28923373.4</v>
      </c>
    </row>
    <row r="32" spans="1:26" ht="21" customHeight="1">
      <c r="A32" s="1" t="s">
        <v>28</v>
      </c>
      <c r="B32" s="89">
        <v>2824861.36</v>
      </c>
      <c r="C32" s="89">
        <v>333657</v>
      </c>
      <c r="D32" s="89">
        <v>6600</v>
      </c>
      <c r="E32" s="89">
        <v>189633</v>
      </c>
      <c r="F32" s="89">
        <v>266954</v>
      </c>
      <c r="G32" s="89">
        <v>0</v>
      </c>
      <c r="H32" s="89">
        <v>281577.54</v>
      </c>
      <c r="I32" s="89">
        <v>0</v>
      </c>
      <c r="J32" s="89">
        <v>0</v>
      </c>
      <c r="K32" s="89">
        <v>814597.96</v>
      </c>
      <c r="L32" s="89">
        <v>755242.24</v>
      </c>
      <c r="M32" s="89">
        <v>0</v>
      </c>
      <c r="N32" s="89">
        <v>62277.51</v>
      </c>
      <c r="O32" s="89">
        <v>224641.39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1">
        <f t="shared" si="7"/>
        <v>4172947.3699999996</v>
      </c>
      <c r="X32" s="1">
        <f t="shared" si="7"/>
        <v>1580494.63</v>
      </c>
      <c r="Y32" s="1">
        <f t="shared" si="4"/>
        <v>6600</v>
      </c>
      <c r="Z32" s="1">
        <f t="shared" si="6"/>
        <v>5760042</v>
      </c>
    </row>
    <row r="33" spans="1:26" ht="21" customHeight="1" thickBot="1">
      <c r="A33" s="8" t="s">
        <v>29</v>
      </c>
      <c r="B33" s="92">
        <v>4762956.76</v>
      </c>
      <c r="C33" s="92">
        <v>957463.33</v>
      </c>
      <c r="D33" s="92">
        <v>21500</v>
      </c>
      <c r="E33" s="92">
        <v>14060</v>
      </c>
      <c r="F33" s="92">
        <v>82150</v>
      </c>
      <c r="G33" s="92">
        <v>0</v>
      </c>
      <c r="H33" s="92">
        <v>2160</v>
      </c>
      <c r="I33" s="92">
        <v>4960</v>
      </c>
      <c r="J33" s="92">
        <v>0</v>
      </c>
      <c r="K33" s="92">
        <v>1310129.04</v>
      </c>
      <c r="L33" s="92">
        <v>2210279.96</v>
      </c>
      <c r="M33" s="92">
        <v>0</v>
      </c>
      <c r="N33" s="92">
        <v>992577.91</v>
      </c>
      <c r="O33" s="92">
        <v>107810.83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102000</v>
      </c>
      <c r="V33" s="92">
        <v>0</v>
      </c>
      <c r="W33" s="1">
        <f>+B33+E33+H33+K33+N33+Q33+T33</f>
        <v>7081883.71</v>
      </c>
      <c r="X33" s="1">
        <f t="shared" si="7"/>
        <v>3464664.12</v>
      </c>
      <c r="Y33" s="1">
        <f t="shared" si="4"/>
        <v>21500</v>
      </c>
      <c r="Z33" s="1">
        <f t="shared" si="6"/>
        <v>10568047.83</v>
      </c>
    </row>
    <row r="34" spans="1:26" ht="21" customHeight="1" thickBot="1">
      <c r="A34" s="122" t="s">
        <v>22</v>
      </c>
      <c r="B34" s="97">
        <f>SUM(B27:B33)</f>
        <v>302112623.92999995</v>
      </c>
      <c r="C34" s="97">
        <f aca="true" t="shared" si="8" ref="C34:X34">SUM(C27:C33)</f>
        <v>20908348.009999998</v>
      </c>
      <c r="D34" s="97">
        <f>SUM(D27:D33)</f>
        <v>92813</v>
      </c>
      <c r="E34" s="97">
        <f t="shared" si="8"/>
        <v>385983.5</v>
      </c>
      <c r="F34" s="97">
        <f t="shared" si="8"/>
        <v>749575</v>
      </c>
      <c r="G34" s="97">
        <f t="shared" si="8"/>
        <v>0</v>
      </c>
      <c r="H34" s="97">
        <f t="shared" si="8"/>
        <v>501525.26</v>
      </c>
      <c r="I34" s="97">
        <f t="shared" si="8"/>
        <v>100252.4</v>
      </c>
      <c r="J34" s="97">
        <f t="shared" si="8"/>
        <v>0</v>
      </c>
      <c r="K34" s="97">
        <f t="shared" si="8"/>
        <v>59834691.91</v>
      </c>
      <c r="L34" s="97">
        <f t="shared" si="8"/>
        <v>51577351.57</v>
      </c>
      <c r="M34" s="97">
        <f t="shared" si="8"/>
        <v>0</v>
      </c>
      <c r="N34" s="97">
        <f t="shared" si="8"/>
        <v>35555017.589999996</v>
      </c>
      <c r="O34" s="97">
        <f t="shared" si="8"/>
        <v>16225682.43</v>
      </c>
      <c r="P34" s="97">
        <f t="shared" si="8"/>
        <v>0</v>
      </c>
      <c r="Q34" s="97">
        <f t="shared" si="8"/>
        <v>5566513.84</v>
      </c>
      <c r="R34" s="97">
        <f t="shared" si="8"/>
        <v>28826534</v>
      </c>
      <c r="S34" s="97">
        <f t="shared" si="8"/>
        <v>0</v>
      </c>
      <c r="T34" s="97">
        <f t="shared" si="8"/>
        <v>7797549</v>
      </c>
      <c r="U34" s="97">
        <f t="shared" si="8"/>
        <v>23173577.040000003</v>
      </c>
      <c r="V34" s="97">
        <f t="shared" si="8"/>
        <v>0</v>
      </c>
      <c r="W34" s="97">
        <f t="shared" si="8"/>
        <v>411753905.03</v>
      </c>
      <c r="X34" s="97">
        <f t="shared" si="8"/>
        <v>141561320.45</v>
      </c>
      <c r="Y34" s="97">
        <f>SUM(Y27:Y33)</f>
        <v>92813</v>
      </c>
      <c r="Z34" s="97">
        <f>SUM(Z27:Z33)</f>
        <v>553408038.48</v>
      </c>
    </row>
    <row r="35" spans="1:26" ht="21" customHeight="1" thickBot="1" thickTop="1">
      <c r="A35" s="55" t="s">
        <v>4</v>
      </c>
      <c r="B35" s="98">
        <f>B25+B34</f>
        <v>573090990.16</v>
      </c>
      <c r="C35" s="98">
        <f aca="true" t="shared" si="9" ref="C35:X35">C25+C34</f>
        <v>63741320.029999994</v>
      </c>
      <c r="D35" s="98">
        <f>D25+D34</f>
        <v>8984220.52</v>
      </c>
      <c r="E35" s="98">
        <f t="shared" si="9"/>
        <v>698718.5</v>
      </c>
      <c r="F35" s="98">
        <f t="shared" si="9"/>
        <v>2360823.71</v>
      </c>
      <c r="G35" s="98">
        <f t="shared" si="9"/>
        <v>0</v>
      </c>
      <c r="H35" s="98">
        <f t="shared" si="9"/>
        <v>1124137.8599999999</v>
      </c>
      <c r="I35" s="98">
        <f t="shared" si="9"/>
        <v>651935.7200000001</v>
      </c>
      <c r="J35" s="98">
        <f t="shared" si="9"/>
        <v>0</v>
      </c>
      <c r="K35" s="98">
        <f t="shared" si="9"/>
        <v>92632118.32999998</v>
      </c>
      <c r="L35" s="98">
        <f t="shared" si="9"/>
        <v>95608093.03999999</v>
      </c>
      <c r="M35" s="98">
        <f t="shared" si="9"/>
        <v>0</v>
      </c>
      <c r="N35" s="98">
        <f t="shared" si="9"/>
        <v>197449436.18</v>
      </c>
      <c r="O35" s="98">
        <f t="shared" si="9"/>
        <v>38355552.50999999</v>
      </c>
      <c r="P35" s="98">
        <f t="shared" si="9"/>
        <v>0</v>
      </c>
      <c r="Q35" s="98">
        <f t="shared" si="9"/>
        <v>34131506.03</v>
      </c>
      <c r="R35" s="98">
        <f t="shared" si="9"/>
        <v>50340114.28</v>
      </c>
      <c r="S35" s="98">
        <f t="shared" si="9"/>
        <v>0</v>
      </c>
      <c r="T35" s="98">
        <f t="shared" si="9"/>
        <v>20496752</v>
      </c>
      <c r="U35" s="98">
        <f t="shared" si="9"/>
        <v>35749116.18000001</v>
      </c>
      <c r="V35" s="98">
        <f t="shared" si="9"/>
        <v>0</v>
      </c>
      <c r="W35" s="98">
        <f t="shared" si="9"/>
        <v>919623659.06</v>
      </c>
      <c r="X35" s="98">
        <f t="shared" si="9"/>
        <v>286806955.47</v>
      </c>
      <c r="Y35" s="98">
        <f>Y25+Y34</f>
        <v>8984220.52</v>
      </c>
      <c r="Z35" s="98">
        <f>Z25+Z34</f>
        <v>1215414835.05</v>
      </c>
    </row>
    <row r="36" spans="1:26" ht="21" customHeight="1" thickTop="1">
      <c r="A36" s="25" t="s">
        <v>145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100"/>
      <c r="W36" s="96"/>
      <c r="X36" s="96"/>
      <c r="Y36" s="96"/>
      <c r="Z36" s="88"/>
    </row>
    <row r="37" spans="1:26" ht="21" customHeight="1">
      <c r="A37" s="1" t="s">
        <v>293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>
        <v>83800</v>
      </c>
      <c r="M37" s="99"/>
      <c r="N37" s="99"/>
      <c r="O37" s="99"/>
      <c r="P37" s="99"/>
      <c r="Q37" s="99"/>
      <c r="R37" s="99"/>
      <c r="S37" s="99"/>
      <c r="T37" s="99"/>
      <c r="U37" s="99"/>
      <c r="V37" s="100"/>
      <c r="W37" s="1">
        <f>+B37+E37+H37+K37+N37+Q37+T37</f>
        <v>0</v>
      </c>
      <c r="X37" s="1">
        <f>+C37+F37+I37+L37+O37+R37+U37</f>
        <v>83800</v>
      </c>
      <c r="Y37" s="1">
        <f>+D37+G37+J37+M37+P37+S37+V37</f>
        <v>0</v>
      </c>
      <c r="Z37" s="1">
        <f>+W37+X37+Y37</f>
        <v>83800</v>
      </c>
    </row>
    <row r="38" spans="1:26" ht="21" customHeight="1">
      <c r="A38" s="13" t="s">
        <v>294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>
        <v>2106986.59</v>
      </c>
      <c r="M38" s="99"/>
      <c r="N38" s="99"/>
      <c r="O38" s="99"/>
      <c r="P38" s="99"/>
      <c r="Q38" s="99"/>
      <c r="R38" s="99"/>
      <c r="S38" s="99"/>
      <c r="T38" s="99"/>
      <c r="U38" s="99"/>
      <c r="V38" s="100"/>
      <c r="W38" s="1">
        <f aca="true" t="shared" si="10" ref="W38:Y48">+B38+E38+H38+K38+N38+Q38+T38</f>
        <v>0</v>
      </c>
      <c r="X38" s="1">
        <f t="shared" si="10"/>
        <v>2106986.59</v>
      </c>
      <c r="Y38" s="1">
        <f t="shared" si="10"/>
        <v>0</v>
      </c>
      <c r="Z38" s="1">
        <f aca="true" t="shared" si="11" ref="Z38:Z48">+W38+X38+Y38</f>
        <v>2106986.59</v>
      </c>
    </row>
    <row r="39" spans="1:26" ht="21" customHeight="1">
      <c r="A39" s="13" t="s">
        <v>295</v>
      </c>
      <c r="B39" s="89"/>
      <c r="C39" s="89">
        <v>1882426.63</v>
      </c>
      <c r="D39" s="89"/>
      <c r="E39" s="89"/>
      <c r="F39" s="89"/>
      <c r="G39" s="89"/>
      <c r="H39" s="89"/>
      <c r="I39" s="89"/>
      <c r="J39" s="89"/>
      <c r="K39" s="89"/>
      <c r="L39" s="89">
        <v>8055969.82</v>
      </c>
      <c r="M39" s="89"/>
      <c r="N39" s="89"/>
      <c r="O39" s="89"/>
      <c r="P39" s="89"/>
      <c r="Q39" s="89"/>
      <c r="R39" s="89"/>
      <c r="S39" s="89"/>
      <c r="T39" s="89"/>
      <c r="U39" s="89">
        <v>308580</v>
      </c>
      <c r="V39" s="89"/>
      <c r="W39" s="1">
        <f t="shared" si="10"/>
        <v>0</v>
      </c>
      <c r="X39" s="1">
        <f t="shared" si="10"/>
        <v>10246976.45</v>
      </c>
      <c r="Y39" s="1">
        <f t="shared" si="10"/>
        <v>0</v>
      </c>
      <c r="Z39" s="1">
        <f t="shared" si="11"/>
        <v>10246976.45</v>
      </c>
    </row>
    <row r="40" spans="1:26" ht="21" customHeight="1">
      <c r="A40" s="13" t="s">
        <v>296</v>
      </c>
      <c r="B40" s="89"/>
      <c r="C40" s="89">
        <v>406449.4</v>
      </c>
      <c r="D40" s="89"/>
      <c r="E40" s="89"/>
      <c r="F40" s="89">
        <v>25000</v>
      </c>
      <c r="G40" s="89"/>
      <c r="H40" s="89"/>
      <c r="I40" s="89"/>
      <c r="J40" s="89"/>
      <c r="K40" s="89"/>
      <c r="L40" s="89">
        <v>216868.48</v>
      </c>
      <c r="M40" s="89"/>
      <c r="N40" s="89"/>
      <c r="O40" s="89"/>
      <c r="P40" s="89"/>
      <c r="Q40" s="89"/>
      <c r="R40" s="89"/>
      <c r="S40" s="89"/>
      <c r="T40" s="89"/>
      <c r="U40" s="89">
        <v>114000</v>
      </c>
      <c r="V40" s="89"/>
      <c r="W40" s="1">
        <f t="shared" si="10"/>
        <v>0</v>
      </c>
      <c r="X40" s="1">
        <f t="shared" si="10"/>
        <v>762317.88</v>
      </c>
      <c r="Y40" s="1">
        <f t="shared" si="10"/>
        <v>0</v>
      </c>
      <c r="Z40" s="1">
        <f t="shared" si="11"/>
        <v>762317.88</v>
      </c>
    </row>
    <row r="41" spans="1:26" ht="21" customHeight="1">
      <c r="A41" s="13" t="s">
        <v>297</v>
      </c>
      <c r="B41" s="89"/>
      <c r="C41" s="89">
        <v>4026305.52</v>
      </c>
      <c r="D41" s="89"/>
      <c r="E41" s="89"/>
      <c r="F41" s="89"/>
      <c r="G41" s="89"/>
      <c r="H41" s="89"/>
      <c r="I41" s="89">
        <v>26880</v>
      </c>
      <c r="J41" s="89"/>
      <c r="K41" s="89"/>
      <c r="L41" s="89">
        <v>1892170.26</v>
      </c>
      <c r="M41" s="89"/>
      <c r="N41" s="89"/>
      <c r="O41" s="89"/>
      <c r="P41" s="89"/>
      <c r="Q41" s="89"/>
      <c r="R41" s="89"/>
      <c r="S41" s="89"/>
      <c r="T41" s="89"/>
      <c r="U41" s="89">
        <v>99400</v>
      </c>
      <c r="V41" s="89"/>
      <c r="W41" s="1">
        <f t="shared" si="10"/>
        <v>0</v>
      </c>
      <c r="X41" s="1">
        <f t="shared" si="10"/>
        <v>6044755.78</v>
      </c>
      <c r="Y41" s="1">
        <f t="shared" si="10"/>
        <v>0</v>
      </c>
      <c r="Z41" s="1">
        <f t="shared" si="11"/>
        <v>6044755.78</v>
      </c>
    </row>
    <row r="42" spans="1:26" ht="21" customHeight="1">
      <c r="A42" s="13" t="s">
        <v>298</v>
      </c>
      <c r="B42" s="89"/>
      <c r="C42" s="89"/>
      <c r="D42" s="89"/>
      <c r="E42" s="89"/>
      <c r="F42" s="89"/>
      <c r="G42" s="89"/>
      <c r="H42" s="89"/>
      <c r="I42" s="89">
        <v>6012</v>
      </c>
      <c r="J42" s="89"/>
      <c r="K42" s="89"/>
      <c r="L42" s="89">
        <v>264701</v>
      </c>
      <c r="M42" s="89"/>
      <c r="N42" s="89"/>
      <c r="O42" s="89"/>
      <c r="P42" s="89"/>
      <c r="Q42" s="89"/>
      <c r="R42" s="89"/>
      <c r="S42" s="89"/>
      <c r="T42" s="89"/>
      <c r="U42" s="89">
        <v>24000</v>
      </c>
      <c r="V42" s="89"/>
      <c r="W42" s="1">
        <f t="shared" si="10"/>
        <v>0</v>
      </c>
      <c r="X42" s="1">
        <f t="shared" si="10"/>
        <v>294713</v>
      </c>
      <c r="Y42" s="1">
        <f t="shared" si="10"/>
        <v>0</v>
      </c>
      <c r="Z42" s="1">
        <f t="shared" si="11"/>
        <v>294713</v>
      </c>
    </row>
    <row r="43" spans="1:26" ht="21" customHeight="1">
      <c r="A43" s="13" t="s">
        <v>299</v>
      </c>
      <c r="B43" s="89"/>
      <c r="C43" s="89">
        <v>559591.77</v>
      </c>
      <c r="D43" s="89"/>
      <c r="E43" s="89"/>
      <c r="F43" s="89"/>
      <c r="G43" s="89"/>
      <c r="H43" s="89"/>
      <c r="I43" s="89"/>
      <c r="J43" s="89"/>
      <c r="K43" s="89"/>
      <c r="L43" s="89">
        <v>1931932</v>
      </c>
      <c r="M43" s="89"/>
      <c r="N43" s="89"/>
      <c r="O43" s="89"/>
      <c r="P43" s="89"/>
      <c r="Q43" s="89"/>
      <c r="R43" s="89"/>
      <c r="S43" s="89"/>
      <c r="T43" s="89"/>
      <c r="U43" s="89">
        <v>180000</v>
      </c>
      <c r="V43" s="89"/>
      <c r="W43" s="1">
        <f t="shared" si="10"/>
        <v>0</v>
      </c>
      <c r="X43" s="1">
        <f t="shared" si="10"/>
        <v>2671523.77</v>
      </c>
      <c r="Y43" s="1">
        <f t="shared" si="10"/>
        <v>0</v>
      </c>
      <c r="Z43" s="1">
        <f t="shared" si="11"/>
        <v>2671523.77</v>
      </c>
    </row>
    <row r="44" spans="1:26" ht="21" customHeight="1">
      <c r="A44" s="13" t="s">
        <v>300</v>
      </c>
      <c r="B44" s="89"/>
      <c r="C44" s="89">
        <v>1444730.76</v>
      </c>
      <c r="D44" s="89"/>
      <c r="E44" s="89"/>
      <c r="F44" s="89">
        <v>7268</v>
      </c>
      <c r="G44" s="89"/>
      <c r="H44" s="89"/>
      <c r="I44" s="89"/>
      <c r="J44" s="89"/>
      <c r="K44" s="89"/>
      <c r="L44" s="89">
        <v>1165632</v>
      </c>
      <c r="M44" s="89"/>
      <c r="N44" s="89"/>
      <c r="O44" s="89"/>
      <c r="P44" s="89"/>
      <c r="Q44" s="89"/>
      <c r="R44" s="89"/>
      <c r="S44" s="89"/>
      <c r="T44" s="89"/>
      <c r="U44" s="89">
        <v>434560</v>
      </c>
      <c r="V44" s="89"/>
      <c r="W44" s="1">
        <f t="shared" si="10"/>
        <v>0</v>
      </c>
      <c r="X44" s="1">
        <f t="shared" si="10"/>
        <v>3052190.76</v>
      </c>
      <c r="Y44" s="1">
        <f t="shared" si="10"/>
        <v>0</v>
      </c>
      <c r="Z44" s="1">
        <f t="shared" si="11"/>
        <v>3052190.76</v>
      </c>
    </row>
    <row r="45" spans="1:26" ht="21" customHeight="1">
      <c r="A45" s="13" t="s">
        <v>301</v>
      </c>
      <c r="B45" s="11"/>
      <c r="C45" s="11">
        <v>86694</v>
      </c>
      <c r="D45" s="11"/>
      <c r="E45" s="11"/>
      <c r="F45" s="11"/>
      <c r="G45" s="11"/>
      <c r="H45" s="11"/>
      <c r="I45" s="11"/>
      <c r="J45" s="11"/>
      <c r="K45" s="11"/>
      <c r="L45" s="11">
        <v>554742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">
        <f t="shared" si="10"/>
        <v>0</v>
      </c>
      <c r="X45" s="1">
        <f t="shared" si="10"/>
        <v>641436</v>
      </c>
      <c r="Y45" s="1">
        <f t="shared" si="10"/>
        <v>0</v>
      </c>
      <c r="Z45" s="1">
        <f t="shared" si="11"/>
        <v>641436</v>
      </c>
    </row>
    <row r="46" spans="1:26" ht="21" customHeight="1">
      <c r="A46" s="13" t="s">
        <v>302</v>
      </c>
      <c r="B46" s="11"/>
      <c r="C46" s="11">
        <v>173887</v>
      </c>
      <c r="D46" s="11"/>
      <c r="E46" s="11"/>
      <c r="F46" s="11"/>
      <c r="G46" s="11"/>
      <c r="H46" s="11"/>
      <c r="I46" s="11"/>
      <c r="J46" s="11"/>
      <c r="K46" s="11"/>
      <c r="L46" s="11">
        <v>112936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">
        <f t="shared" si="10"/>
        <v>0</v>
      </c>
      <c r="X46" s="1">
        <f t="shared" si="10"/>
        <v>286823</v>
      </c>
      <c r="Y46" s="1">
        <f t="shared" si="10"/>
        <v>0</v>
      </c>
      <c r="Z46" s="1">
        <f t="shared" si="11"/>
        <v>286823</v>
      </c>
    </row>
    <row r="47" spans="1:26" ht="21" customHeight="1">
      <c r="A47" s="13" t="s">
        <v>303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>
        <v>81598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">
        <f t="shared" si="10"/>
        <v>0</v>
      </c>
      <c r="X47" s="1">
        <f t="shared" si="10"/>
        <v>81598</v>
      </c>
      <c r="Y47" s="1">
        <f t="shared" si="10"/>
        <v>0</v>
      </c>
      <c r="Z47" s="1">
        <f t="shared" si="11"/>
        <v>81598</v>
      </c>
    </row>
    <row r="48" spans="1:26" ht="21" customHeight="1" thickBot="1">
      <c r="A48" s="50" t="s">
        <v>304</v>
      </c>
      <c r="B48" s="92"/>
      <c r="C48" s="92">
        <v>355680</v>
      </c>
      <c r="D48" s="92"/>
      <c r="E48" s="92"/>
      <c r="F48" s="89"/>
      <c r="G48" s="89"/>
      <c r="H48" s="89"/>
      <c r="I48" s="89"/>
      <c r="J48" s="89"/>
      <c r="K48" s="89"/>
      <c r="L48" s="89">
        <v>33393.36</v>
      </c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1">
        <f t="shared" si="10"/>
        <v>0</v>
      </c>
      <c r="X48" s="1">
        <f t="shared" si="10"/>
        <v>389073.36</v>
      </c>
      <c r="Y48" s="1">
        <f t="shared" si="10"/>
        <v>0</v>
      </c>
      <c r="Z48" s="1">
        <f t="shared" si="11"/>
        <v>389073.36</v>
      </c>
    </row>
    <row r="49" spans="1:26" ht="21" customHeight="1" thickBot="1" thickTop="1">
      <c r="A49" s="55" t="s">
        <v>22</v>
      </c>
      <c r="B49" s="98">
        <f>SUM(B39:B48)</f>
        <v>0</v>
      </c>
      <c r="C49" s="98">
        <f>SUM(C37:C48)</f>
        <v>8935765.08</v>
      </c>
      <c r="D49" s="98">
        <f aca="true" t="shared" si="12" ref="D49:Z49">SUM(D37:D48)</f>
        <v>0</v>
      </c>
      <c r="E49" s="98">
        <f t="shared" si="12"/>
        <v>0</v>
      </c>
      <c r="F49" s="98">
        <f t="shared" si="12"/>
        <v>32268</v>
      </c>
      <c r="G49" s="98">
        <f t="shared" si="12"/>
        <v>0</v>
      </c>
      <c r="H49" s="98">
        <f t="shared" si="12"/>
        <v>0</v>
      </c>
      <c r="I49" s="98">
        <f t="shared" si="12"/>
        <v>32892</v>
      </c>
      <c r="J49" s="98">
        <f t="shared" si="12"/>
        <v>0</v>
      </c>
      <c r="K49" s="98">
        <f t="shared" si="12"/>
        <v>0</v>
      </c>
      <c r="L49" s="98">
        <f t="shared" si="12"/>
        <v>16500729.51</v>
      </c>
      <c r="M49" s="98">
        <f t="shared" si="12"/>
        <v>0</v>
      </c>
      <c r="N49" s="98">
        <f t="shared" si="12"/>
        <v>0</v>
      </c>
      <c r="O49" s="98">
        <f t="shared" si="12"/>
        <v>0</v>
      </c>
      <c r="P49" s="98">
        <f t="shared" si="12"/>
        <v>0</v>
      </c>
      <c r="Q49" s="98">
        <f t="shared" si="12"/>
        <v>0</v>
      </c>
      <c r="R49" s="98">
        <f t="shared" si="12"/>
        <v>0</v>
      </c>
      <c r="S49" s="98">
        <f t="shared" si="12"/>
        <v>0</v>
      </c>
      <c r="T49" s="98">
        <f t="shared" si="12"/>
        <v>0</v>
      </c>
      <c r="U49" s="98">
        <f t="shared" si="12"/>
        <v>1160540</v>
      </c>
      <c r="V49" s="98">
        <f t="shared" si="12"/>
        <v>0</v>
      </c>
      <c r="W49" s="98">
        <f t="shared" si="12"/>
        <v>0</v>
      </c>
      <c r="X49" s="98">
        <f t="shared" si="12"/>
        <v>26662194.589999996</v>
      </c>
      <c r="Y49" s="98">
        <f t="shared" si="12"/>
        <v>0</v>
      </c>
      <c r="Z49" s="98">
        <f t="shared" si="12"/>
        <v>26662194.589999996</v>
      </c>
    </row>
    <row r="50" spans="1:26" ht="21" customHeight="1" thickBot="1" thickTop="1">
      <c r="A50" s="55" t="s">
        <v>34</v>
      </c>
      <c r="B50" s="98">
        <f>B35+B49</f>
        <v>573090990.16</v>
      </c>
      <c r="C50" s="98">
        <f>C35+C49</f>
        <v>72677085.11</v>
      </c>
      <c r="D50" s="98">
        <f aca="true" t="shared" si="13" ref="D50:Z50">D35+D49</f>
        <v>8984220.52</v>
      </c>
      <c r="E50" s="98">
        <f t="shared" si="13"/>
        <v>698718.5</v>
      </c>
      <c r="F50" s="98">
        <f t="shared" si="13"/>
        <v>2393091.71</v>
      </c>
      <c r="G50" s="98">
        <f t="shared" si="13"/>
        <v>0</v>
      </c>
      <c r="H50" s="98">
        <f t="shared" si="13"/>
        <v>1124137.8599999999</v>
      </c>
      <c r="I50" s="98">
        <f t="shared" si="13"/>
        <v>684827.7200000001</v>
      </c>
      <c r="J50" s="98">
        <f t="shared" si="13"/>
        <v>0</v>
      </c>
      <c r="K50" s="98">
        <f t="shared" si="13"/>
        <v>92632118.32999998</v>
      </c>
      <c r="L50" s="98">
        <f t="shared" si="13"/>
        <v>112108822.55</v>
      </c>
      <c r="M50" s="98">
        <f t="shared" si="13"/>
        <v>0</v>
      </c>
      <c r="N50" s="98">
        <f t="shared" si="13"/>
        <v>197449436.18</v>
      </c>
      <c r="O50" s="98">
        <f t="shared" si="13"/>
        <v>38355552.50999999</v>
      </c>
      <c r="P50" s="98">
        <f t="shared" si="13"/>
        <v>0</v>
      </c>
      <c r="Q50" s="98">
        <f t="shared" si="13"/>
        <v>34131506.03</v>
      </c>
      <c r="R50" s="98">
        <f t="shared" si="13"/>
        <v>50340114.28</v>
      </c>
      <c r="S50" s="98">
        <f t="shared" si="13"/>
        <v>0</v>
      </c>
      <c r="T50" s="98">
        <f t="shared" si="13"/>
        <v>20496752</v>
      </c>
      <c r="U50" s="98">
        <f t="shared" si="13"/>
        <v>36909656.18000001</v>
      </c>
      <c r="V50" s="98">
        <f t="shared" si="13"/>
        <v>0</v>
      </c>
      <c r="W50" s="98">
        <f t="shared" si="13"/>
        <v>919623659.06</v>
      </c>
      <c r="X50" s="98">
        <f t="shared" si="13"/>
        <v>313469150.06</v>
      </c>
      <c r="Y50" s="98">
        <f t="shared" si="13"/>
        <v>8984220.52</v>
      </c>
      <c r="Z50" s="98">
        <f t="shared" si="13"/>
        <v>1242077029.6399999</v>
      </c>
    </row>
    <row r="51" ht="21" customHeight="1" thickTop="1"/>
  </sheetData>
  <sheetProtection/>
  <mergeCells count="14">
    <mergeCell ref="W5:Y5"/>
    <mergeCell ref="Z5:Z6"/>
    <mergeCell ref="A1:Z1"/>
    <mergeCell ref="A2:Z2"/>
    <mergeCell ref="A4:G4"/>
    <mergeCell ref="P4:Z4"/>
    <mergeCell ref="A5:A6"/>
    <mergeCell ref="B5:D5"/>
    <mergeCell ref="E5:G5"/>
    <mergeCell ref="H5:J5"/>
    <mergeCell ref="K5:M5"/>
    <mergeCell ref="N5:P5"/>
    <mergeCell ref="Q5:S5"/>
    <mergeCell ref="T5:V5"/>
  </mergeCells>
  <printOptions/>
  <pageMargins left="0.1968503937007874" right="0.1968503937007874" top="0.4330708661417323" bottom="0.3937007874015748" header="0.31496062992125984" footer="0.2755905511811024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Z19">
      <selection activeCell="AJ17" sqref="AJ17"/>
    </sheetView>
  </sheetViews>
  <sheetFormatPr defaultColWidth="9.140625" defaultRowHeight="15"/>
  <cols>
    <col min="1" max="1" width="49.57421875" style="4" customWidth="1"/>
    <col min="2" max="2" width="13.7109375" style="2" bestFit="1" customWidth="1"/>
    <col min="3" max="3" width="12.7109375" style="2" bestFit="1" customWidth="1"/>
    <col min="4" max="4" width="12.7109375" style="2" customWidth="1"/>
    <col min="5" max="5" width="13.7109375" style="2" bestFit="1" customWidth="1"/>
    <col min="6" max="6" width="11.8515625" style="2" bestFit="1" customWidth="1"/>
    <col min="7" max="7" width="7.7109375" style="2" customWidth="1"/>
    <col min="8" max="9" width="12.7109375" style="2" customWidth="1"/>
    <col min="10" max="10" width="7.7109375" style="2" customWidth="1"/>
    <col min="11" max="12" width="12.7109375" style="2" bestFit="1" customWidth="1"/>
    <col min="13" max="13" width="7.7109375" style="2" customWidth="1"/>
    <col min="14" max="15" width="13.7109375" style="2" bestFit="1" customWidth="1"/>
    <col min="16" max="16" width="13.140625" style="2" customWidth="1"/>
    <col min="17" max="17" width="14.7109375" style="2" customWidth="1"/>
    <col min="18" max="18" width="13.7109375" style="2" customWidth="1"/>
    <col min="19" max="19" width="7.7109375" style="2" customWidth="1"/>
    <col min="20" max="20" width="14.7109375" style="2" bestFit="1" customWidth="1"/>
    <col min="21" max="22" width="13.7109375" style="2" bestFit="1" customWidth="1"/>
    <col min="23" max="23" width="14.7109375" style="2" customWidth="1"/>
    <col min="24" max="24" width="13.7109375" style="2" customWidth="1"/>
    <col min="25" max="25" width="7.7109375" style="2" customWidth="1"/>
    <col min="26" max="26" width="14.7109375" style="2" customWidth="1"/>
    <col min="27" max="27" width="13.7109375" style="2" customWidth="1"/>
    <col min="28" max="28" width="7.7109375" style="2" customWidth="1"/>
    <col min="29" max="29" width="14.7109375" style="2" customWidth="1"/>
    <col min="30" max="30" width="14.7109375" style="2" bestFit="1" customWidth="1"/>
    <col min="31" max="31" width="12.7109375" style="2" bestFit="1" customWidth="1"/>
    <col min="32" max="32" width="15.28125" style="2" bestFit="1" customWidth="1"/>
    <col min="33" max="33" width="13.7109375" style="2" customWidth="1"/>
    <col min="34" max="34" width="12.421875" style="2" bestFit="1" customWidth="1"/>
    <col min="35" max="35" width="15.28125" style="4" bestFit="1" customWidth="1"/>
    <col min="36" max="36" width="13.7109375" style="4" bestFit="1" customWidth="1"/>
    <col min="37" max="37" width="7.7109375" style="4" bestFit="1" customWidth="1"/>
    <col min="38" max="38" width="16.421875" style="3" bestFit="1" customWidth="1"/>
    <col min="39" max="39" width="14.7109375" style="3" bestFit="1" customWidth="1"/>
    <col min="40" max="40" width="13.7109375" style="3" bestFit="1" customWidth="1"/>
    <col min="41" max="41" width="16.421875" style="3" bestFit="1" customWidth="1"/>
    <col min="42" max="44" width="11.8515625" style="3" bestFit="1" customWidth="1"/>
    <col min="45" max="16384" width="9.00390625" style="3" customWidth="1"/>
  </cols>
  <sheetData>
    <row r="1" spans="1:41" ht="21">
      <c r="A1" s="185" t="s">
        <v>307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</row>
    <row r="2" spans="1:41" ht="21">
      <c r="A2" s="185" t="s">
        <v>180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</row>
    <row r="3" spans="1:41" ht="2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1:37" ht="23.25">
      <c r="A4" s="186" t="s">
        <v>253</v>
      </c>
      <c r="B4" s="186"/>
      <c r="C4" s="186"/>
      <c r="D4" s="186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7"/>
      <c r="AG4" s="3"/>
      <c r="AH4" s="3"/>
      <c r="AI4" s="3"/>
      <c r="AJ4" s="3"/>
      <c r="AK4" s="3"/>
    </row>
    <row r="5" spans="1:35" s="5" customFormat="1" ht="18.75">
      <c r="A5" s="178" t="s">
        <v>3</v>
      </c>
      <c r="B5" s="178" t="s">
        <v>35</v>
      </c>
      <c r="C5" s="178"/>
      <c r="D5" s="178"/>
      <c r="E5" s="178" t="s">
        <v>36</v>
      </c>
      <c r="F5" s="178"/>
      <c r="G5" s="178"/>
      <c r="H5" s="178" t="s">
        <v>37</v>
      </c>
      <c r="I5" s="178"/>
      <c r="J5" s="178"/>
      <c r="K5" s="178" t="s">
        <v>38</v>
      </c>
      <c r="L5" s="178"/>
      <c r="M5" s="178"/>
      <c r="N5" s="183" t="s">
        <v>220</v>
      </c>
      <c r="O5" s="183"/>
      <c r="P5" s="183"/>
      <c r="Q5" s="178" t="s">
        <v>39</v>
      </c>
      <c r="R5" s="178"/>
      <c r="S5" s="178"/>
      <c r="T5" s="178" t="s">
        <v>40</v>
      </c>
      <c r="U5" s="178"/>
      <c r="V5" s="178"/>
      <c r="W5" s="183" t="s">
        <v>221</v>
      </c>
      <c r="X5" s="183"/>
      <c r="Y5" s="183"/>
      <c r="Z5" s="178" t="s">
        <v>41</v>
      </c>
      <c r="AA5" s="178"/>
      <c r="AB5" s="178"/>
      <c r="AC5" s="183" t="s">
        <v>222</v>
      </c>
      <c r="AD5" s="183"/>
      <c r="AE5" s="183"/>
      <c r="AF5" s="179" t="s">
        <v>4</v>
      </c>
      <c r="AG5" s="179"/>
      <c r="AH5" s="179"/>
      <c r="AI5" s="184" t="s">
        <v>223</v>
      </c>
    </row>
    <row r="6" spans="1:35" s="6" customFormat="1" ht="18.75">
      <c r="A6" s="178"/>
      <c r="B6" s="11" t="s">
        <v>0</v>
      </c>
      <c r="C6" s="11" t="s">
        <v>1</v>
      </c>
      <c r="D6" s="11" t="s">
        <v>5</v>
      </c>
      <c r="E6" s="11" t="s">
        <v>0</v>
      </c>
      <c r="F6" s="11" t="s">
        <v>1</v>
      </c>
      <c r="G6" s="11" t="s">
        <v>5</v>
      </c>
      <c r="H6" s="11" t="s">
        <v>0</v>
      </c>
      <c r="I6" s="11" t="s">
        <v>1</v>
      </c>
      <c r="J6" s="11" t="s">
        <v>5</v>
      </c>
      <c r="K6" s="11" t="s">
        <v>0</v>
      </c>
      <c r="L6" s="11" t="s">
        <v>1</v>
      </c>
      <c r="M6" s="11" t="s">
        <v>5</v>
      </c>
      <c r="N6" s="11" t="s">
        <v>0</v>
      </c>
      <c r="O6" s="11" t="s">
        <v>1</v>
      </c>
      <c r="P6" s="11" t="s">
        <v>5</v>
      </c>
      <c r="Q6" s="11" t="s">
        <v>0</v>
      </c>
      <c r="R6" s="11" t="s">
        <v>1</v>
      </c>
      <c r="S6" s="11" t="s">
        <v>5</v>
      </c>
      <c r="T6" s="11" t="s">
        <v>0</v>
      </c>
      <c r="U6" s="11" t="s">
        <v>1</v>
      </c>
      <c r="V6" s="11" t="s">
        <v>5</v>
      </c>
      <c r="W6" s="11" t="s">
        <v>0</v>
      </c>
      <c r="X6" s="11" t="s">
        <v>1</v>
      </c>
      <c r="Y6" s="11" t="s">
        <v>5</v>
      </c>
      <c r="Z6" s="11" t="s">
        <v>0</v>
      </c>
      <c r="AA6" s="11" t="s">
        <v>1</v>
      </c>
      <c r="AB6" s="11" t="s">
        <v>5</v>
      </c>
      <c r="AC6" s="11" t="s">
        <v>0</v>
      </c>
      <c r="AD6" s="11" t="s">
        <v>1</v>
      </c>
      <c r="AE6" s="11" t="s">
        <v>5</v>
      </c>
      <c r="AF6" s="11" t="s">
        <v>0</v>
      </c>
      <c r="AG6" s="11" t="s">
        <v>1</v>
      </c>
      <c r="AH6" s="11" t="s">
        <v>5</v>
      </c>
      <c r="AI6" s="183"/>
    </row>
    <row r="7" spans="1:35" s="6" customFormat="1" ht="18.75">
      <c r="A7" s="40" t="s">
        <v>6</v>
      </c>
      <c r="B7" s="1"/>
      <c r="C7" s="1"/>
      <c r="D7" s="1"/>
      <c r="E7" s="1"/>
      <c r="F7" s="1"/>
      <c r="G7" s="1"/>
      <c r="H7" s="1"/>
      <c r="I7" s="1"/>
      <c r="J7" s="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"/>
      <c r="X7" s="1"/>
      <c r="Y7" s="1"/>
      <c r="Z7" s="11"/>
      <c r="AA7" s="11"/>
      <c r="AB7" s="11"/>
      <c r="AC7" s="1"/>
      <c r="AD7" s="1"/>
      <c r="AE7" s="1"/>
      <c r="AF7" s="1"/>
      <c r="AG7" s="1"/>
      <c r="AH7" s="1"/>
      <c r="AI7" s="1"/>
    </row>
    <row r="8" spans="1:35" s="6" customFormat="1" ht="18.75">
      <c r="A8" s="13" t="s">
        <v>255</v>
      </c>
      <c r="B8" s="11">
        <f>+'คชจ.หน่วยงาน63'!B8</f>
        <v>31579004.17</v>
      </c>
      <c r="C8" s="11">
        <f>+'คชจ.หน่วยงาน63'!C8</f>
        <v>5556081.85</v>
      </c>
      <c r="D8" s="11">
        <f>+'คชจ.หน่วยงาน63'!D8</f>
        <v>1605444.48</v>
      </c>
      <c r="E8" s="11">
        <f>+'คชจ.หน่วยงาน63'!E8</f>
        <v>0</v>
      </c>
      <c r="F8" s="11">
        <f>+'คชจ.หน่วยงาน63'!F8</f>
        <v>15600</v>
      </c>
      <c r="G8" s="11">
        <f>+'คชจ.หน่วยงาน63'!G8</f>
        <v>0</v>
      </c>
      <c r="H8" s="11">
        <f>+'คชจ.หน่วยงาน63'!H8</f>
        <v>0</v>
      </c>
      <c r="I8" s="11">
        <f>+'คชจ.หน่วยงาน63'!I8</f>
        <v>0</v>
      </c>
      <c r="J8" s="11">
        <f>+'คชจ.หน่วยงาน63'!J8</f>
        <v>0</v>
      </c>
      <c r="K8" s="11">
        <f>+'คชจ.หน่วยงาน63'!Q8</f>
        <v>130000</v>
      </c>
      <c r="L8" s="11">
        <f>+'คชจ.หน่วยงาน63'!R8</f>
        <v>4846700</v>
      </c>
      <c r="M8" s="11">
        <f>+'คชจ.หน่วยงาน63'!S8</f>
        <v>0</v>
      </c>
      <c r="N8" s="11">
        <f>+B8+E8+H8+K8</f>
        <v>31709004.17</v>
      </c>
      <c r="O8" s="11">
        <f>+C8+F8+I8+L8</f>
        <v>10418381.85</v>
      </c>
      <c r="P8" s="11">
        <f>+D8+G8+J8+M8</f>
        <v>1605444.48</v>
      </c>
      <c r="Q8" s="11">
        <f>+'คชจ.หน่วยงาน63'!K8</f>
        <v>5164565.49</v>
      </c>
      <c r="R8" s="11">
        <f>+'คชจ.หน่วยงาน63'!L8</f>
        <v>10357943.55</v>
      </c>
      <c r="S8" s="11">
        <f>+'คชจ.หน่วยงาน63'!M8</f>
        <v>0</v>
      </c>
      <c r="T8" s="11">
        <f>+'คชจ.หน่วยงาน63'!N8</f>
        <v>33935307.05</v>
      </c>
      <c r="U8" s="11">
        <f>+'คชจ.หน่วยงาน63'!O8</f>
        <v>3371506.14</v>
      </c>
      <c r="V8" s="11">
        <f>+'คชจ.หน่วยงาน63'!P8</f>
        <v>0</v>
      </c>
      <c r="W8" s="1">
        <f>+Q8+T8</f>
        <v>39099872.54</v>
      </c>
      <c r="X8" s="1">
        <f>+R8+U8</f>
        <v>13729449.690000001</v>
      </c>
      <c r="Y8" s="1">
        <f>+S8+V8</f>
        <v>0</v>
      </c>
      <c r="Z8" s="11">
        <f>+'คชจ.หน่วยงาน63'!T8</f>
        <v>10968413</v>
      </c>
      <c r="AA8" s="11">
        <f>+'คชจ.หน่วยงาน63'!U8</f>
        <v>1296894</v>
      </c>
      <c r="AB8" s="11">
        <f>+'คชจ.หน่วยงาน63'!V8</f>
        <v>0</v>
      </c>
      <c r="AC8" s="1">
        <f>+Z8</f>
        <v>10968413</v>
      </c>
      <c r="AD8" s="1">
        <f>+AA8</f>
        <v>1296894</v>
      </c>
      <c r="AE8" s="1">
        <f>+AB8</f>
        <v>0</v>
      </c>
      <c r="AF8" s="1">
        <f>+N8+W8+AC8</f>
        <v>81777289.71000001</v>
      </c>
      <c r="AG8" s="1">
        <f>+O8+X8+AD8</f>
        <v>25444725.54</v>
      </c>
      <c r="AH8" s="1">
        <f>+P8+Y8+AE8</f>
        <v>1605444.48</v>
      </c>
      <c r="AI8" s="1">
        <f>+AF8+AG8+AH8</f>
        <v>108827459.73</v>
      </c>
    </row>
    <row r="9" spans="1:35" s="6" customFormat="1" ht="18.75">
      <c r="A9" s="13" t="s">
        <v>256</v>
      </c>
      <c r="B9" s="11">
        <f>+'คชจ.หน่วยงาน63'!B9</f>
        <v>16141449.35</v>
      </c>
      <c r="C9" s="11">
        <f>+'คชจ.หน่วยงาน63'!C9</f>
        <v>4530460.48</v>
      </c>
      <c r="D9" s="11">
        <f>+'คชจ.หน่วยงาน63'!D9</f>
        <v>2121002.23</v>
      </c>
      <c r="E9" s="11">
        <f>+'คชจ.หน่วยงาน63'!E9</f>
        <v>0</v>
      </c>
      <c r="F9" s="11">
        <f>+'คชจ.หน่วยงาน63'!F9</f>
        <v>38700</v>
      </c>
      <c r="G9" s="11">
        <f>+'คชจ.หน่วยงาน63'!G9</f>
        <v>0</v>
      </c>
      <c r="H9" s="11">
        <f>+'คชจ.หน่วยงาน63'!H9</f>
        <v>0</v>
      </c>
      <c r="I9" s="11">
        <f>+'คชจ.หน่วยงาน63'!I9</f>
        <v>0</v>
      </c>
      <c r="J9" s="11">
        <f>+'คชจ.หน่วยงาน63'!J9</f>
        <v>0</v>
      </c>
      <c r="K9" s="11">
        <f>+'คชจ.หน่วยงาน63'!Q9</f>
        <v>19500</v>
      </c>
      <c r="L9" s="11">
        <f>+'คชจ.หน่วยงาน63'!R9</f>
        <v>2629629.28</v>
      </c>
      <c r="M9" s="11">
        <f>+'คชจ.หน่วยงาน63'!S9</f>
        <v>0</v>
      </c>
      <c r="N9" s="11">
        <f aca="true" t="shared" si="0" ref="N9:N46">+B9+E9+H9+K9</f>
        <v>16160949.35</v>
      </c>
      <c r="O9" s="11">
        <f aca="true" t="shared" si="1" ref="O9:O46">+C9+F9+I9+L9</f>
        <v>7198789.76</v>
      </c>
      <c r="P9" s="11">
        <f aca="true" t="shared" si="2" ref="P9:P46">+D9+G9+J9+M9</f>
        <v>2121002.23</v>
      </c>
      <c r="Q9" s="11">
        <f>+'คชจ.หน่วยงาน63'!K9</f>
        <v>3549734.65</v>
      </c>
      <c r="R9" s="11">
        <f>+'คชจ.หน่วยงาน63'!L9</f>
        <v>12286532.76</v>
      </c>
      <c r="S9" s="11">
        <f>+'คชจ.หน่วยงาน63'!M9</f>
        <v>0</v>
      </c>
      <c r="T9" s="11">
        <f>+'คชจ.หน่วยงาน63'!N9</f>
        <v>23441020.5</v>
      </c>
      <c r="U9" s="11">
        <f>+'คชจ.หน่วยงาน63'!O9</f>
        <v>2183785.33</v>
      </c>
      <c r="V9" s="11">
        <f>+'คชจ.หน่วยงาน63'!P9</f>
        <v>0</v>
      </c>
      <c r="W9" s="1">
        <f aca="true" t="shared" si="3" ref="W9:W50">+Q9+T9</f>
        <v>26990755.15</v>
      </c>
      <c r="X9" s="1">
        <f aca="true" t="shared" si="4" ref="X9:X50">+R9+U9</f>
        <v>14470318.09</v>
      </c>
      <c r="Y9" s="1">
        <f aca="true" t="shared" si="5" ref="Y9:Y50">+S9+V9</f>
        <v>0</v>
      </c>
      <c r="Z9" s="11">
        <f>+'คชจ.หน่วยงาน63'!T9</f>
        <v>350000</v>
      </c>
      <c r="AA9" s="11">
        <f>+'คชจ.หน่วยงาน63'!U9</f>
        <v>3134628</v>
      </c>
      <c r="AB9" s="11">
        <f>+'คชจ.หน่วยงาน63'!V9</f>
        <v>0</v>
      </c>
      <c r="AC9" s="1">
        <f aca="true" t="shared" si="6" ref="AC9:AC50">+Z9</f>
        <v>350000</v>
      </c>
      <c r="AD9" s="1">
        <f aca="true" t="shared" si="7" ref="AD9:AD50">+AA9</f>
        <v>3134628</v>
      </c>
      <c r="AE9" s="1">
        <f aca="true" t="shared" si="8" ref="AE9:AE50">+AB9</f>
        <v>0</v>
      </c>
      <c r="AF9" s="1">
        <f aca="true" t="shared" si="9" ref="AF9:AF50">+N9+W9+AC9</f>
        <v>43501704.5</v>
      </c>
      <c r="AG9" s="1">
        <f aca="true" t="shared" si="10" ref="AG9:AG50">+O9+X9+AD9</f>
        <v>24803735.85</v>
      </c>
      <c r="AH9" s="1">
        <f aca="true" t="shared" si="11" ref="AH9:AH50">+P9+Y9+AE9</f>
        <v>2121002.23</v>
      </c>
      <c r="AI9" s="1">
        <f aca="true" t="shared" si="12" ref="AI9:AI50">+AF9+AG9+AH9</f>
        <v>70426442.58</v>
      </c>
    </row>
    <row r="10" spans="1:35" s="6" customFormat="1" ht="18.75">
      <c r="A10" s="13" t="s">
        <v>257</v>
      </c>
      <c r="B10" s="11">
        <f>+'คชจ.หน่วยงาน63'!B10</f>
        <v>29279800</v>
      </c>
      <c r="C10" s="11">
        <f>+'คชจ.หน่วยงาน63'!C10</f>
        <v>4492879.03</v>
      </c>
      <c r="D10" s="11">
        <f>+'คชจ.หน่วยงาน63'!D10</f>
        <v>1015019.3</v>
      </c>
      <c r="E10" s="11">
        <f>+'คชจ.หน่วยงาน63'!E10</f>
        <v>0</v>
      </c>
      <c r="F10" s="11">
        <f>+'คชจ.หน่วยงาน63'!F10</f>
        <v>0</v>
      </c>
      <c r="G10" s="11">
        <f>+'คชจ.หน่วยงาน63'!G10</f>
        <v>0</v>
      </c>
      <c r="H10" s="11">
        <f>+'คชจ.หน่วยงาน63'!H10</f>
        <v>0</v>
      </c>
      <c r="I10" s="11">
        <f>+'คชจ.หน่วยงาน63'!I10</f>
        <v>0</v>
      </c>
      <c r="J10" s="11">
        <f>+'คชจ.หน่วยงาน63'!J10</f>
        <v>0</v>
      </c>
      <c r="K10" s="11">
        <f>+'คชจ.หน่วยงาน63'!Q10</f>
        <v>0</v>
      </c>
      <c r="L10" s="11">
        <f>+'คชจ.หน่วยงาน63'!R10</f>
        <v>3895180</v>
      </c>
      <c r="M10" s="11">
        <f>+'คชจ.หน่วยงาน63'!S10</f>
        <v>0</v>
      </c>
      <c r="N10" s="11">
        <f t="shared" si="0"/>
        <v>29279800</v>
      </c>
      <c r="O10" s="11">
        <f t="shared" si="1"/>
        <v>8388059.03</v>
      </c>
      <c r="P10" s="11">
        <f t="shared" si="2"/>
        <v>1015019.3</v>
      </c>
      <c r="Q10" s="11">
        <f>+'คชจ.หน่วยงาน63'!K10</f>
        <v>6537573.74</v>
      </c>
      <c r="R10" s="11">
        <f>+'คชจ.หน่วยงาน63'!L10</f>
        <v>5458880.21</v>
      </c>
      <c r="S10" s="11">
        <f>+'คชจ.หน่วยงาน63'!M10</f>
        <v>0</v>
      </c>
      <c r="T10" s="11">
        <f>+'คชจ.หน่วยงาน63'!N10</f>
        <v>14067708.33</v>
      </c>
      <c r="U10" s="11">
        <f>+'คชจ.หน่วยงาน63'!O10</f>
        <v>3010423.52</v>
      </c>
      <c r="V10" s="11">
        <f>+'คชจ.หน่วยงาน63'!P10</f>
        <v>0</v>
      </c>
      <c r="W10" s="1">
        <f t="shared" si="3"/>
        <v>20605282.07</v>
      </c>
      <c r="X10" s="1">
        <f t="shared" si="4"/>
        <v>8469303.73</v>
      </c>
      <c r="Y10" s="1">
        <f t="shared" si="5"/>
        <v>0</v>
      </c>
      <c r="Z10" s="11">
        <f>+'คชจ.หน่วยงาน63'!T10</f>
        <v>151640</v>
      </c>
      <c r="AA10" s="11">
        <f>+'คชจ.หน่วยงาน63'!U10</f>
        <v>2653230.5</v>
      </c>
      <c r="AB10" s="11">
        <f>+'คชจ.หน่วยงาน63'!V10</f>
        <v>0</v>
      </c>
      <c r="AC10" s="1">
        <f t="shared" si="6"/>
        <v>151640</v>
      </c>
      <c r="AD10" s="1">
        <f t="shared" si="7"/>
        <v>2653230.5</v>
      </c>
      <c r="AE10" s="1">
        <f t="shared" si="8"/>
        <v>0</v>
      </c>
      <c r="AF10" s="1">
        <f t="shared" si="9"/>
        <v>50036722.07</v>
      </c>
      <c r="AG10" s="1">
        <f t="shared" si="10"/>
        <v>19510593.26</v>
      </c>
      <c r="AH10" s="1">
        <f t="shared" si="11"/>
        <v>1015019.3</v>
      </c>
      <c r="AI10" s="1">
        <f t="shared" si="12"/>
        <v>70562334.63</v>
      </c>
    </row>
    <row r="11" spans="1:35" s="6" customFormat="1" ht="18.75">
      <c r="A11" s="13" t="s">
        <v>258</v>
      </c>
      <c r="B11" s="11">
        <f>+'คชจ.หน่วยงาน63'!B11</f>
        <v>15591894.39</v>
      </c>
      <c r="C11" s="11">
        <f>+'คชจ.หน่วยงาน63'!C11</f>
        <v>853920</v>
      </c>
      <c r="D11" s="11">
        <f>+'คชจ.หน่วยงาน63'!D11</f>
        <v>360047.41000000003</v>
      </c>
      <c r="E11" s="11">
        <f>+'คชจ.หน่วยงาน63'!E11</f>
        <v>0</v>
      </c>
      <c r="F11" s="11">
        <f>+'คชจ.หน่วยงาน63'!F11</f>
        <v>0</v>
      </c>
      <c r="G11" s="11">
        <f>+'คชจ.หน่วยงาน63'!G11</f>
        <v>0</v>
      </c>
      <c r="H11" s="11">
        <f>+'คชจ.หน่วยงาน63'!H11</f>
        <v>0</v>
      </c>
      <c r="I11" s="11">
        <f>+'คชจ.หน่วยงาน63'!I11</f>
        <v>0</v>
      </c>
      <c r="J11" s="11">
        <f>+'คชจ.หน่วยงาน63'!J11</f>
        <v>0</v>
      </c>
      <c r="K11" s="11">
        <f>+'คชจ.หน่วยงาน63'!Q11</f>
        <v>0</v>
      </c>
      <c r="L11" s="11">
        <f>+'คชจ.หน่วยงาน63'!R11</f>
        <v>593160</v>
      </c>
      <c r="M11" s="11">
        <f>+'คชจ.หน่วยงาน63'!S11</f>
        <v>0</v>
      </c>
      <c r="N11" s="11">
        <f t="shared" si="0"/>
        <v>15591894.39</v>
      </c>
      <c r="O11" s="11">
        <f t="shared" si="1"/>
        <v>1447080</v>
      </c>
      <c r="P11" s="11">
        <f t="shared" si="2"/>
        <v>360047.41000000003</v>
      </c>
      <c r="Q11" s="11">
        <f>+'คชจ.หน่วยงาน63'!K11</f>
        <v>1329898.28</v>
      </c>
      <c r="R11" s="11">
        <f>+'คชจ.หน่วยงาน63'!L11</f>
        <v>1656901.55</v>
      </c>
      <c r="S11" s="11">
        <f>+'คชจ.หน่วยงาน63'!M11</f>
        <v>0</v>
      </c>
      <c r="T11" s="11">
        <f>+'คชจ.หน่วยงาน63'!N11</f>
        <v>5244245.43</v>
      </c>
      <c r="U11" s="11">
        <f>+'คชจ.หน่วยงาน63'!O11</f>
        <v>382778.6</v>
      </c>
      <c r="V11" s="11">
        <f>+'คชจ.หน่วยงาน63'!P11</f>
        <v>0</v>
      </c>
      <c r="W11" s="1">
        <f t="shared" si="3"/>
        <v>6574143.71</v>
      </c>
      <c r="X11" s="1">
        <f t="shared" si="4"/>
        <v>2039680.15</v>
      </c>
      <c r="Y11" s="1">
        <f t="shared" si="5"/>
        <v>0</v>
      </c>
      <c r="Z11" s="11">
        <f>+'คชจ.หน่วยงาน63'!T11</f>
        <v>179000</v>
      </c>
      <c r="AA11" s="11">
        <f>+'คชจ.หน่วยงาน63'!U11</f>
        <v>856081</v>
      </c>
      <c r="AB11" s="11">
        <f>+'คชจ.หน่วยงาน63'!V11</f>
        <v>0</v>
      </c>
      <c r="AC11" s="1">
        <f t="shared" si="6"/>
        <v>179000</v>
      </c>
      <c r="AD11" s="1">
        <f t="shared" si="7"/>
        <v>856081</v>
      </c>
      <c r="AE11" s="1">
        <f t="shared" si="8"/>
        <v>0</v>
      </c>
      <c r="AF11" s="1">
        <f t="shared" si="9"/>
        <v>22345038.1</v>
      </c>
      <c r="AG11" s="1">
        <f t="shared" si="10"/>
        <v>4342841.15</v>
      </c>
      <c r="AH11" s="1">
        <f t="shared" si="11"/>
        <v>360047.41000000003</v>
      </c>
      <c r="AI11" s="1">
        <f t="shared" si="12"/>
        <v>27047926.66</v>
      </c>
    </row>
    <row r="12" spans="1:35" s="6" customFormat="1" ht="18.75">
      <c r="A12" s="13" t="s">
        <v>259</v>
      </c>
      <c r="B12" s="11">
        <f>+'คชจ.หน่วยงาน63'!B12</f>
        <v>17668954.99</v>
      </c>
      <c r="C12" s="11">
        <f>+'คชจ.หน่วยงาน63'!C12</f>
        <v>2273328.61</v>
      </c>
      <c r="D12" s="11">
        <f>+'คชจ.หน่วยงาน63'!D12</f>
        <v>525962.66</v>
      </c>
      <c r="E12" s="11">
        <f>+'คชจ.หน่วยงาน63'!E12</f>
        <v>0</v>
      </c>
      <c r="F12" s="11">
        <f>+'คชจ.หน่วยงาน63'!F12</f>
        <v>0</v>
      </c>
      <c r="G12" s="11">
        <f>+'คชจ.หน่วยงาน63'!G12</f>
        <v>0</v>
      </c>
      <c r="H12" s="11">
        <f>+'คชจ.หน่วยงาน63'!H12</f>
        <v>0</v>
      </c>
      <c r="I12" s="11">
        <f>+'คชจ.หน่วยงาน63'!I12</f>
        <v>0</v>
      </c>
      <c r="J12" s="11">
        <f>+'คชจ.หน่วยงาน63'!J12</f>
        <v>0</v>
      </c>
      <c r="K12" s="11">
        <f>+'คชจ.หน่วยงาน63'!Q12</f>
        <v>0</v>
      </c>
      <c r="L12" s="11">
        <f>+'คชจ.หน่วยงาน63'!R12</f>
        <v>792681</v>
      </c>
      <c r="M12" s="11">
        <f>+'คชจ.หน่วยงาน63'!S12</f>
        <v>0</v>
      </c>
      <c r="N12" s="11">
        <f t="shared" si="0"/>
        <v>17668954.99</v>
      </c>
      <c r="O12" s="11">
        <f t="shared" si="1"/>
        <v>3066009.61</v>
      </c>
      <c r="P12" s="11">
        <f t="shared" si="2"/>
        <v>525962.66</v>
      </c>
      <c r="Q12" s="11">
        <f>+'คชจ.หน่วยงาน63'!K12</f>
        <v>2476481.86</v>
      </c>
      <c r="R12" s="11">
        <f>+'คชจ.หน่วยงาน63'!L12</f>
        <v>2529647.61</v>
      </c>
      <c r="S12" s="11">
        <f>+'คชจ.หน่วยงาน63'!M12</f>
        <v>0</v>
      </c>
      <c r="T12" s="11">
        <f>+'คชจ.หน่วยงาน63'!N12</f>
        <v>13166910.65</v>
      </c>
      <c r="U12" s="11">
        <f>+'คชจ.หน่วยงาน63'!O12</f>
        <v>2511169.78</v>
      </c>
      <c r="V12" s="11">
        <f>+'คชจ.หน่วยงาน63'!P12</f>
        <v>0</v>
      </c>
      <c r="W12" s="1">
        <f t="shared" si="3"/>
        <v>15643392.51</v>
      </c>
      <c r="X12" s="1">
        <f t="shared" si="4"/>
        <v>5040817.39</v>
      </c>
      <c r="Y12" s="1">
        <f t="shared" si="5"/>
        <v>0</v>
      </c>
      <c r="Z12" s="11">
        <f>+'คชจ.หน่วยงาน63'!T12</f>
        <v>211450</v>
      </c>
      <c r="AA12" s="11">
        <f>+'คชจ.หน่วยงาน63'!U12</f>
        <v>1341398</v>
      </c>
      <c r="AB12" s="11">
        <f>+'คชจ.หน่วยงาน63'!V12</f>
        <v>0</v>
      </c>
      <c r="AC12" s="1">
        <f t="shared" si="6"/>
        <v>211450</v>
      </c>
      <c r="AD12" s="1">
        <f t="shared" si="7"/>
        <v>1341398</v>
      </c>
      <c r="AE12" s="1">
        <f t="shared" si="8"/>
        <v>0</v>
      </c>
      <c r="AF12" s="1">
        <f t="shared" si="9"/>
        <v>33523797.5</v>
      </c>
      <c r="AG12" s="1">
        <f t="shared" si="10"/>
        <v>9448225</v>
      </c>
      <c r="AH12" s="1">
        <f t="shared" si="11"/>
        <v>525962.66</v>
      </c>
      <c r="AI12" s="1">
        <f t="shared" si="12"/>
        <v>43497985.16</v>
      </c>
    </row>
    <row r="13" spans="1:35" s="6" customFormat="1" ht="18.75">
      <c r="A13" s="13" t="s">
        <v>260</v>
      </c>
      <c r="B13" s="11">
        <f>+'คชจ.หน่วยงาน63'!B13</f>
        <v>15325657.2</v>
      </c>
      <c r="C13" s="11">
        <f>+'คชจ.หน่วยงาน63'!C13</f>
        <v>1499824.13</v>
      </c>
      <c r="D13" s="11">
        <f>+'คชจ.หน่วยงาน63'!D13</f>
        <v>202154.37</v>
      </c>
      <c r="E13" s="11">
        <f>+'คชจ.หน่วยงาน63'!E13</f>
        <v>0</v>
      </c>
      <c r="F13" s="11">
        <f>+'คชจ.หน่วยงาน63'!F13</f>
        <v>0</v>
      </c>
      <c r="G13" s="11">
        <f>+'คชจ.หน่วยงาน63'!G13</f>
        <v>0</v>
      </c>
      <c r="H13" s="11">
        <f>+'คชจ.หน่วยงาน63'!H13</f>
        <v>0</v>
      </c>
      <c r="I13" s="11">
        <f>+'คชจ.หน่วยงาน63'!I13</f>
        <v>0</v>
      </c>
      <c r="J13" s="11">
        <f>+'คชจ.หน่วยงาน63'!J13</f>
        <v>0</v>
      </c>
      <c r="K13" s="11">
        <f>+'คชจ.หน่วยงาน63'!Q13</f>
        <v>0</v>
      </c>
      <c r="L13" s="11">
        <f>+'คชจ.หน่วยงาน63'!R13</f>
        <v>569150</v>
      </c>
      <c r="M13" s="11">
        <f>+'คชจ.หน่วยงาน63'!S13</f>
        <v>0</v>
      </c>
      <c r="N13" s="11">
        <f t="shared" si="0"/>
        <v>15325657.2</v>
      </c>
      <c r="O13" s="11">
        <f t="shared" si="1"/>
        <v>2068974.13</v>
      </c>
      <c r="P13" s="11">
        <f t="shared" si="2"/>
        <v>202154.37</v>
      </c>
      <c r="Q13" s="11">
        <f>+'คชจ.หน่วยงาน63'!K13</f>
        <v>2313704.07</v>
      </c>
      <c r="R13" s="11">
        <f>+'คชจ.หน่วยงาน63'!L13</f>
        <v>1701884.87</v>
      </c>
      <c r="S13" s="11">
        <f>+'คชจ.หน่วยงาน63'!M13</f>
        <v>0</v>
      </c>
      <c r="T13" s="11">
        <f>+'คชจ.หน่วยงาน63'!N13</f>
        <v>8534052.47</v>
      </c>
      <c r="U13" s="11">
        <f>+'คชจ.หน่วยงาน63'!O13</f>
        <v>1190009.04</v>
      </c>
      <c r="V13" s="11">
        <f>+'คชจ.หน่วยงาน63'!P13</f>
        <v>0</v>
      </c>
      <c r="W13" s="1">
        <f t="shared" si="3"/>
        <v>10847756.540000001</v>
      </c>
      <c r="X13" s="1">
        <f t="shared" si="4"/>
        <v>2891893.91</v>
      </c>
      <c r="Y13" s="1">
        <f t="shared" si="5"/>
        <v>0</v>
      </c>
      <c r="Z13" s="11">
        <f>+'คชจ.หน่วยงาน63'!T13</f>
        <v>738700</v>
      </c>
      <c r="AA13" s="11">
        <f>+'คชจ.หน่วยงาน63'!U13</f>
        <v>389660</v>
      </c>
      <c r="AB13" s="11">
        <f>+'คชจ.หน่วยงาน63'!V13</f>
        <v>0</v>
      </c>
      <c r="AC13" s="1">
        <f t="shared" si="6"/>
        <v>738700</v>
      </c>
      <c r="AD13" s="1">
        <f t="shared" si="7"/>
        <v>389660</v>
      </c>
      <c r="AE13" s="1">
        <f t="shared" si="8"/>
        <v>0</v>
      </c>
      <c r="AF13" s="1">
        <f t="shared" si="9"/>
        <v>26912113.740000002</v>
      </c>
      <c r="AG13" s="1">
        <f t="shared" si="10"/>
        <v>5350528.04</v>
      </c>
      <c r="AH13" s="1">
        <f t="shared" si="11"/>
        <v>202154.37</v>
      </c>
      <c r="AI13" s="1">
        <f t="shared" si="12"/>
        <v>32464796.150000002</v>
      </c>
    </row>
    <row r="14" spans="1:35" s="6" customFormat="1" ht="18.75">
      <c r="A14" s="13" t="s">
        <v>13</v>
      </c>
      <c r="B14" s="11">
        <f>+'คชจ.หน่วยงาน63'!B14</f>
        <v>0</v>
      </c>
      <c r="C14" s="11">
        <f>+'คชจ.หน่วยงาน63'!C14</f>
        <v>0</v>
      </c>
      <c r="D14" s="11">
        <f>+'คชจ.หน่วยงาน63'!D14</f>
        <v>5793.82</v>
      </c>
      <c r="E14" s="11">
        <f>+'คชจ.หน่วยงาน63'!E14</f>
        <v>0</v>
      </c>
      <c r="F14" s="11">
        <f>+'คชจ.หน่วยงาน63'!F14</f>
        <v>0</v>
      </c>
      <c r="G14" s="11">
        <f>+'คชจ.หน่วยงาน63'!G14</f>
        <v>0</v>
      </c>
      <c r="H14" s="11">
        <f>+'คชจ.หน่วยงาน63'!H14</f>
        <v>52671</v>
      </c>
      <c r="I14" s="11">
        <f>+'คชจ.หน่วยงาน63'!I14</f>
        <v>0</v>
      </c>
      <c r="J14" s="11">
        <f>+'คชจ.หน่วยงาน63'!J14</f>
        <v>0</v>
      </c>
      <c r="K14" s="11">
        <f>+'คชจ.หน่วยงาน63'!Q14</f>
        <v>0</v>
      </c>
      <c r="L14" s="11">
        <f>+'คชจ.หน่วยงาน63'!R14</f>
        <v>0</v>
      </c>
      <c r="M14" s="11">
        <f>+'คชจ.หน่วยงาน63'!S14</f>
        <v>0</v>
      </c>
      <c r="N14" s="11">
        <f t="shared" si="0"/>
        <v>52671</v>
      </c>
      <c r="O14" s="11">
        <f t="shared" si="1"/>
        <v>0</v>
      </c>
      <c r="P14" s="11">
        <f t="shared" si="2"/>
        <v>5793.82</v>
      </c>
      <c r="Q14" s="11">
        <f>+'คชจ.หน่วยงาน63'!K14</f>
        <v>247328.72</v>
      </c>
      <c r="R14" s="11">
        <f>+'คชจ.หน่วยงาน63'!L14</f>
        <v>49994</v>
      </c>
      <c r="S14" s="11">
        <f>+'คชจ.หน่วยงาน63'!M14</f>
        <v>0</v>
      </c>
      <c r="T14" s="11">
        <f>+'คชจ.หน่วยงาน63'!N14</f>
        <v>836884.1799999999</v>
      </c>
      <c r="U14" s="11">
        <f>+'คชจ.หน่วยงาน63'!O14</f>
        <v>426298.52999999997</v>
      </c>
      <c r="V14" s="11">
        <f>+'คชจ.หน่วยงาน63'!P14</f>
        <v>0</v>
      </c>
      <c r="W14" s="1">
        <f t="shared" si="3"/>
        <v>1084212.9</v>
      </c>
      <c r="X14" s="1">
        <f t="shared" si="4"/>
        <v>476292.52999999997</v>
      </c>
      <c r="Y14" s="1">
        <f t="shared" si="5"/>
        <v>0</v>
      </c>
      <c r="Z14" s="11">
        <f>+'คชจ.หน่วยงาน63'!T14</f>
        <v>0</v>
      </c>
      <c r="AA14" s="11">
        <f>+'คชจ.หน่วยงาน63'!U14</f>
        <v>289400</v>
      </c>
      <c r="AB14" s="11">
        <f>+'คชจ.หน่วยงาน63'!V14</f>
        <v>0</v>
      </c>
      <c r="AC14" s="1">
        <f t="shared" si="6"/>
        <v>0</v>
      </c>
      <c r="AD14" s="1">
        <f t="shared" si="7"/>
        <v>289400</v>
      </c>
      <c r="AE14" s="1">
        <f t="shared" si="8"/>
        <v>0</v>
      </c>
      <c r="AF14" s="1">
        <f t="shared" si="9"/>
        <v>1136883.9</v>
      </c>
      <c r="AG14" s="1">
        <f t="shared" si="10"/>
        <v>765692.53</v>
      </c>
      <c r="AH14" s="1">
        <f t="shared" si="11"/>
        <v>5793.82</v>
      </c>
      <c r="AI14" s="1">
        <f t="shared" si="12"/>
        <v>1908370.25</v>
      </c>
    </row>
    <row r="15" spans="1:35" s="6" customFormat="1" ht="18.75">
      <c r="A15" s="13" t="s">
        <v>14</v>
      </c>
      <c r="B15" s="11">
        <f>+'คชจ.หน่วยงาน63'!B15</f>
        <v>33785737.44</v>
      </c>
      <c r="C15" s="11">
        <f>+'คชจ.หน่วยงาน63'!C15</f>
        <v>3155767.02</v>
      </c>
      <c r="D15" s="11">
        <f>+'คชจ.หน่วยงาน63'!D15</f>
        <v>403781.61</v>
      </c>
      <c r="E15" s="11">
        <f>+'คชจ.หน่วยงาน63'!E15</f>
        <v>0</v>
      </c>
      <c r="F15" s="11">
        <f>+'คชจ.หน่วยงาน63'!F15</f>
        <v>0</v>
      </c>
      <c r="G15" s="11">
        <f>+'คชจ.หน่วยงาน63'!G15</f>
        <v>0</v>
      </c>
      <c r="H15" s="11">
        <f>+'คชจ.หน่วยงาน63'!H15</f>
        <v>0</v>
      </c>
      <c r="I15" s="11">
        <f>+'คชจ.หน่วยงาน63'!I15</f>
        <v>19376</v>
      </c>
      <c r="J15" s="11">
        <f>+'คชจ.หน่วยงาน63'!J15</f>
        <v>0</v>
      </c>
      <c r="K15" s="11">
        <f>+'คชจ.หน่วยงาน63'!Q15</f>
        <v>2244584.2</v>
      </c>
      <c r="L15" s="11">
        <f>+'คชจ.หน่วยงาน63'!R15</f>
        <v>1256532</v>
      </c>
      <c r="M15" s="11">
        <f>+'คชจ.หน่วยงาน63'!S15</f>
        <v>0</v>
      </c>
      <c r="N15" s="11">
        <f t="shared" si="0"/>
        <v>36030321.64</v>
      </c>
      <c r="O15" s="11">
        <f t="shared" si="1"/>
        <v>4431675.02</v>
      </c>
      <c r="P15" s="11">
        <f t="shared" si="2"/>
        <v>403781.61</v>
      </c>
      <c r="Q15" s="11">
        <f>+'คชจ.หน่วยงาน63'!K15</f>
        <v>1429352.59</v>
      </c>
      <c r="R15" s="11">
        <f>+'คชจ.หน่วยงาน63'!L15</f>
        <v>460979.11</v>
      </c>
      <c r="S15" s="11">
        <f>+'คชจ.หน่วยงาน63'!M15</f>
        <v>0</v>
      </c>
      <c r="T15" s="11">
        <f>+'คชจ.หน่วยงาน63'!N15</f>
        <v>5683462.84</v>
      </c>
      <c r="U15" s="11">
        <f>+'คชจ.หน่วยงาน63'!O15</f>
        <v>1470416</v>
      </c>
      <c r="V15" s="11">
        <f>+'คชจ.หน่วยงาน63'!P15</f>
        <v>0</v>
      </c>
      <c r="W15" s="1">
        <f t="shared" si="3"/>
        <v>7112815.43</v>
      </c>
      <c r="X15" s="1">
        <f t="shared" si="4"/>
        <v>1931395.1099999999</v>
      </c>
      <c r="Y15" s="1">
        <f t="shared" si="5"/>
        <v>0</v>
      </c>
      <c r="Z15" s="11">
        <f>+'คชจ.หน่วยงาน63'!T15</f>
        <v>20000</v>
      </c>
      <c r="AA15" s="11">
        <f>+'คชจ.หน่วยงาน63'!U15</f>
        <v>0</v>
      </c>
      <c r="AB15" s="11">
        <f>+'คชจ.หน่วยงาน63'!V15</f>
        <v>0</v>
      </c>
      <c r="AC15" s="1">
        <f t="shared" si="6"/>
        <v>20000</v>
      </c>
      <c r="AD15" s="1">
        <f t="shared" si="7"/>
        <v>0</v>
      </c>
      <c r="AE15" s="1">
        <f t="shared" si="8"/>
        <v>0</v>
      </c>
      <c r="AF15" s="1">
        <f t="shared" si="9"/>
        <v>43163137.07</v>
      </c>
      <c r="AG15" s="1">
        <f t="shared" si="10"/>
        <v>6363070.129999999</v>
      </c>
      <c r="AH15" s="1">
        <f t="shared" si="11"/>
        <v>403781.61</v>
      </c>
      <c r="AI15" s="1">
        <f t="shared" si="12"/>
        <v>49929988.81</v>
      </c>
    </row>
    <row r="16" spans="1:35" s="6" customFormat="1" ht="18.75">
      <c r="A16" s="13" t="s">
        <v>15</v>
      </c>
      <c r="B16" s="11">
        <f>+'คชจ.หน่วยงาน63'!B16</f>
        <v>16382158.059999999</v>
      </c>
      <c r="C16" s="11">
        <f>+'คชจ.หน่วยงาน63'!C16</f>
        <v>510270.44</v>
      </c>
      <c r="D16" s="11">
        <f>+'คชจ.หน่วยงาน63'!D16</f>
        <v>74762.39</v>
      </c>
      <c r="E16" s="11">
        <f>+'คชจ.หน่วยงาน63'!E16</f>
        <v>0</v>
      </c>
      <c r="F16" s="11">
        <f>+'คชจ.หน่วยงาน63'!F16</f>
        <v>355143</v>
      </c>
      <c r="G16" s="11">
        <f>+'คชจ.หน่วยงาน63'!G16</f>
        <v>0</v>
      </c>
      <c r="H16" s="11">
        <f>+'คชจ.หน่วยงาน63'!H16</f>
        <v>90864.12</v>
      </c>
      <c r="I16" s="11">
        <f>+'คชจ.หน่วยงาน63'!I16</f>
        <v>17994</v>
      </c>
      <c r="J16" s="11">
        <f>+'คชจ.หน่วยงาน63'!J16</f>
        <v>0</v>
      </c>
      <c r="K16" s="11">
        <f>+'คชจ.หน่วยงาน63'!Q16</f>
        <v>0</v>
      </c>
      <c r="L16" s="11">
        <f>+'คชจ.หน่วยงาน63'!R16</f>
        <v>0</v>
      </c>
      <c r="M16" s="11">
        <f>+'คชจ.หน่วยงาน63'!S16</f>
        <v>0</v>
      </c>
      <c r="N16" s="11">
        <f t="shared" si="0"/>
        <v>16473022.179999998</v>
      </c>
      <c r="O16" s="11">
        <f t="shared" si="1"/>
        <v>883407.44</v>
      </c>
      <c r="P16" s="11">
        <f t="shared" si="2"/>
        <v>74762.39</v>
      </c>
      <c r="Q16" s="11">
        <f>+'คชจ.หน่วยงาน63'!K16</f>
        <v>1194253.06</v>
      </c>
      <c r="R16" s="11">
        <f>+'คชจ.หน่วยงาน63'!L16</f>
        <v>462983.4</v>
      </c>
      <c r="S16" s="11">
        <f>+'คชจ.หน่วยงาน63'!M16</f>
        <v>0</v>
      </c>
      <c r="T16" s="11">
        <f>+'คชจ.หน่วยงาน63'!N16</f>
        <v>8319122.83</v>
      </c>
      <c r="U16" s="11">
        <f>+'คชจ.หน่วยงาน63'!O16</f>
        <v>890780.61</v>
      </c>
      <c r="V16" s="11">
        <f>+'คชจ.หน่วยงาน63'!P16</f>
        <v>0</v>
      </c>
      <c r="W16" s="1">
        <f t="shared" si="3"/>
        <v>9513375.89</v>
      </c>
      <c r="X16" s="1">
        <f t="shared" si="4"/>
        <v>1353764.01</v>
      </c>
      <c r="Y16" s="1">
        <f t="shared" si="5"/>
        <v>0</v>
      </c>
      <c r="Z16" s="11">
        <f>+'คชจ.หน่วยงาน63'!T16</f>
        <v>0</v>
      </c>
      <c r="AA16" s="11">
        <f>+'คชจ.หน่วยงาน63'!U16</f>
        <v>288437</v>
      </c>
      <c r="AB16" s="11">
        <f>+'คชจ.หน่วยงาน63'!V16</f>
        <v>0</v>
      </c>
      <c r="AC16" s="1">
        <f t="shared" si="6"/>
        <v>0</v>
      </c>
      <c r="AD16" s="1">
        <f t="shared" si="7"/>
        <v>288437</v>
      </c>
      <c r="AE16" s="1">
        <f t="shared" si="8"/>
        <v>0</v>
      </c>
      <c r="AF16" s="1">
        <f t="shared" si="9"/>
        <v>25986398.07</v>
      </c>
      <c r="AG16" s="1">
        <f t="shared" si="10"/>
        <v>2525608.45</v>
      </c>
      <c r="AH16" s="1">
        <f t="shared" si="11"/>
        <v>74762.39</v>
      </c>
      <c r="AI16" s="1">
        <f t="shared" si="12"/>
        <v>28586768.91</v>
      </c>
    </row>
    <row r="17" spans="1:37" ht="21">
      <c r="A17" s="13" t="s">
        <v>16</v>
      </c>
      <c r="B17" s="11">
        <f>+'คชจ.หน่วยงาน63'!B17</f>
        <v>0</v>
      </c>
      <c r="C17" s="11">
        <f>+'คชจ.หน่วยงาน63'!C17</f>
        <v>2274000.16</v>
      </c>
      <c r="D17" s="11">
        <f>+'คชจ.หน่วยงาน63'!D17</f>
        <v>341769.21</v>
      </c>
      <c r="E17" s="11">
        <f>+'คชจ.หน่วยงาน63'!E17</f>
        <v>0</v>
      </c>
      <c r="F17" s="11">
        <f>+'คชจ.หน่วยงาน63'!F17</f>
        <v>21474</v>
      </c>
      <c r="G17" s="11">
        <f>+'คชจ.หน่วยงาน63'!G17</f>
        <v>0</v>
      </c>
      <c r="H17" s="11">
        <f>+'คชจ.หน่วยงาน63'!H17</f>
        <v>0</v>
      </c>
      <c r="I17" s="11">
        <f>+'คชจ.หน่วยงาน63'!I17</f>
        <v>54609</v>
      </c>
      <c r="J17" s="11">
        <f>+'คชจ.หน่วยงาน63'!J17</f>
        <v>0</v>
      </c>
      <c r="K17" s="11">
        <f>+'คชจ.หน่วยงาน63'!Q17</f>
        <v>536436</v>
      </c>
      <c r="L17" s="11">
        <f>+'คชจ.หน่วยงาน63'!R17</f>
        <v>908948</v>
      </c>
      <c r="M17" s="11">
        <f>+'คชจ.หน่วยงาน63'!S17</f>
        <v>0</v>
      </c>
      <c r="N17" s="11">
        <f t="shared" si="0"/>
        <v>536436</v>
      </c>
      <c r="O17" s="11">
        <f t="shared" si="1"/>
        <v>3259031.16</v>
      </c>
      <c r="P17" s="11">
        <f t="shared" si="2"/>
        <v>341769.21</v>
      </c>
      <c r="Q17" s="11">
        <f>+'คชจ.หน่วยงาน63'!K17</f>
        <v>577236</v>
      </c>
      <c r="R17" s="11">
        <f>+'คชจ.หน่วยงาน63'!L17</f>
        <v>1605070.5</v>
      </c>
      <c r="S17" s="11">
        <f>+'คชจ.หน่วยงาน63'!M17</f>
        <v>0</v>
      </c>
      <c r="T17" s="11">
        <f>+'คชจ.หน่วยงาน63'!N17</f>
        <v>1427940.12</v>
      </c>
      <c r="U17" s="11">
        <f>+'คชจ.หน่วยงาน63'!O17</f>
        <v>856556.24</v>
      </c>
      <c r="V17" s="11">
        <f>+'คชจ.หน่วยงาน63'!P17</f>
        <v>0</v>
      </c>
      <c r="W17" s="1">
        <f t="shared" si="3"/>
        <v>2005176.12</v>
      </c>
      <c r="X17" s="1">
        <f t="shared" si="4"/>
        <v>2461626.74</v>
      </c>
      <c r="Y17" s="1">
        <f t="shared" si="5"/>
        <v>0</v>
      </c>
      <c r="Z17" s="11">
        <f>+'คชจ.หน่วยงาน63'!T17</f>
        <v>60000</v>
      </c>
      <c r="AA17" s="11">
        <f>+'คชจ.หน่วยงาน63'!U17</f>
        <v>0</v>
      </c>
      <c r="AB17" s="11">
        <f>+'คชจ.หน่วยงาน63'!V17</f>
        <v>0</v>
      </c>
      <c r="AC17" s="1">
        <f t="shared" si="6"/>
        <v>60000</v>
      </c>
      <c r="AD17" s="1">
        <f t="shared" si="7"/>
        <v>0</v>
      </c>
      <c r="AE17" s="1">
        <f t="shared" si="8"/>
        <v>0</v>
      </c>
      <c r="AF17" s="1">
        <f t="shared" si="9"/>
        <v>2601612.12</v>
      </c>
      <c r="AG17" s="1">
        <f t="shared" si="10"/>
        <v>5720657.9</v>
      </c>
      <c r="AH17" s="1">
        <f t="shared" si="11"/>
        <v>341769.21</v>
      </c>
      <c r="AI17" s="1">
        <f t="shared" si="12"/>
        <v>8664039.23</v>
      </c>
      <c r="AJ17" s="3"/>
      <c r="AK17" s="3"/>
    </row>
    <row r="18" spans="1:35" s="6" customFormat="1" ht="18.75">
      <c r="A18" s="13" t="s">
        <v>17</v>
      </c>
      <c r="B18" s="11">
        <f>+'คชจ.หน่วยงาน63'!B18</f>
        <v>5582164.28</v>
      </c>
      <c r="C18" s="11">
        <f>+'คชจ.หน่วยงาน63'!C18</f>
        <v>358290.57</v>
      </c>
      <c r="D18" s="11">
        <f>+'คชจ.หน่วยงาน63'!D18</f>
        <v>58603.22</v>
      </c>
      <c r="E18" s="11">
        <f>+'คชจ.หน่วยงาน63'!E18</f>
        <v>0</v>
      </c>
      <c r="F18" s="11">
        <f>+'คชจ.หน่วยงาน63'!F18</f>
        <v>56400</v>
      </c>
      <c r="G18" s="11">
        <f>+'คชจ.หน่วยงาน63'!G18</f>
        <v>0</v>
      </c>
      <c r="H18" s="11">
        <f>+'คชจ.หน่วยงาน63'!H18</f>
        <v>16676</v>
      </c>
      <c r="I18" s="11">
        <f>+'คชจ.หน่วยงาน63'!I18</f>
        <v>11640</v>
      </c>
      <c r="J18" s="11">
        <f>+'คชจ.หน่วยงาน63'!J18</f>
        <v>0</v>
      </c>
      <c r="K18" s="11">
        <f>+'คชจ.หน่วยงาน63'!Q18</f>
        <v>0</v>
      </c>
      <c r="L18" s="11">
        <f>+'คชจ.หน่วยงาน63'!R18</f>
        <v>0</v>
      </c>
      <c r="M18" s="11">
        <f>+'คชจ.หน่วยงาน63'!S18</f>
        <v>0</v>
      </c>
      <c r="N18" s="11">
        <f t="shared" si="0"/>
        <v>5598840.28</v>
      </c>
      <c r="O18" s="11">
        <f t="shared" si="1"/>
        <v>426330.57</v>
      </c>
      <c r="P18" s="11">
        <f t="shared" si="2"/>
        <v>58603.22</v>
      </c>
      <c r="Q18" s="11">
        <f>+'คชจ.หน่วยงาน63'!K18</f>
        <v>629811.55</v>
      </c>
      <c r="R18" s="11">
        <f>+'คชจ.หน่วยงาน63'!L18</f>
        <v>456661.36</v>
      </c>
      <c r="S18" s="11">
        <f>+'คชจ.หน่วยงาน63'!M18</f>
        <v>0</v>
      </c>
      <c r="T18" s="11">
        <f>+'คชจ.หน่วยงาน63'!N18</f>
        <v>3636583.41</v>
      </c>
      <c r="U18" s="11">
        <f>+'คชจ.หน่วยงาน63'!O18</f>
        <v>101447.84</v>
      </c>
      <c r="V18" s="11">
        <f>+'คชจ.หน่วยงาน63'!P18</f>
        <v>0</v>
      </c>
      <c r="W18" s="1">
        <f t="shared" si="3"/>
        <v>4266394.96</v>
      </c>
      <c r="X18" s="1">
        <f t="shared" si="4"/>
        <v>558109.2</v>
      </c>
      <c r="Y18" s="1">
        <f t="shared" si="5"/>
        <v>0</v>
      </c>
      <c r="Z18" s="11">
        <f>+'คชจ.หน่วยงาน63'!T18</f>
        <v>0</v>
      </c>
      <c r="AA18" s="11">
        <f>+'คชจ.หน่วยงาน63'!U18</f>
        <v>313684.8</v>
      </c>
      <c r="AB18" s="11">
        <f>+'คชจ.หน่วยงาน63'!V18</f>
        <v>0</v>
      </c>
      <c r="AC18" s="1">
        <f t="shared" si="6"/>
        <v>0</v>
      </c>
      <c r="AD18" s="1">
        <f t="shared" si="7"/>
        <v>313684.8</v>
      </c>
      <c r="AE18" s="1">
        <f t="shared" si="8"/>
        <v>0</v>
      </c>
      <c r="AF18" s="1">
        <f t="shared" si="9"/>
        <v>9865235.24</v>
      </c>
      <c r="AG18" s="1">
        <f t="shared" si="10"/>
        <v>1298124.57</v>
      </c>
      <c r="AH18" s="1">
        <f t="shared" si="11"/>
        <v>58603.22</v>
      </c>
      <c r="AI18" s="1">
        <f t="shared" si="12"/>
        <v>11221963.030000001</v>
      </c>
    </row>
    <row r="19" spans="1:35" s="6" customFormat="1" ht="18.75">
      <c r="A19" s="13" t="s">
        <v>18</v>
      </c>
      <c r="B19" s="11">
        <f>+'คชจ.หน่วยงาน63'!B19</f>
        <v>21458442.6</v>
      </c>
      <c r="C19" s="11">
        <f>+'คชจ.หน่วยงาน63'!C19</f>
        <v>3138125.82</v>
      </c>
      <c r="D19" s="11">
        <f>+'คชจ.หน่วยงาน63'!D19</f>
        <v>154917.16</v>
      </c>
      <c r="E19" s="11">
        <f>+'คชจ.หน่วยงาน63'!E19</f>
        <v>0</v>
      </c>
      <c r="F19" s="11">
        <f>+'คชจ.หน่วยงาน63'!F19</f>
        <v>192400</v>
      </c>
      <c r="G19" s="11">
        <f>+'คชจ.หน่วยงาน63'!G19</f>
        <v>0</v>
      </c>
      <c r="H19" s="11">
        <f>+'คชจ.หน่วยงาน63'!H19</f>
        <v>69194.49</v>
      </c>
      <c r="I19" s="11">
        <f>+'คชจ.หน่วยงาน63'!I19</f>
        <v>191589.74</v>
      </c>
      <c r="J19" s="11">
        <f>+'คชจ.หน่วยงาน63'!J19</f>
        <v>0</v>
      </c>
      <c r="K19" s="11">
        <f>+'คชจ.หน่วยงาน63'!Q19</f>
        <v>0</v>
      </c>
      <c r="L19" s="11">
        <f>+'คชจ.หน่วยงาน63'!R19</f>
        <v>0</v>
      </c>
      <c r="M19" s="11">
        <f>+'คชจ.หน่วยงาน63'!S19</f>
        <v>0</v>
      </c>
      <c r="N19" s="11">
        <f t="shared" si="0"/>
        <v>21527637.09</v>
      </c>
      <c r="O19" s="11">
        <f t="shared" si="1"/>
        <v>3522115.5599999996</v>
      </c>
      <c r="P19" s="11">
        <f t="shared" si="2"/>
        <v>154917.16</v>
      </c>
      <c r="Q19" s="11">
        <f>+'คชจ.หน่วยงาน63'!K19</f>
        <v>972508.17</v>
      </c>
      <c r="R19" s="11">
        <f>+'คชจ.หน่วยงาน63'!L19</f>
        <v>1508637.76</v>
      </c>
      <c r="S19" s="11">
        <f>+'คชจ.หน่วยงาน63'!M19</f>
        <v>0</v>
      </c>
      <c r="T19" s="11">
        <f>+'คชจ.หน่วยงาน63'!N19</f>
        <v>12705430.05</v>
      </c>
      <c r="U19" s="11">
        <f>+'คชจ.หน่วยงาน63'!O19</f>
        <v>1010096.66</v>
      </c>
      <c r="V19" s="11">
        <f>+'คชจ.หน่วยงาน63'!P19</f>
        <v>0</v>
      </c>
      <c r="W19" s="1">
        <f t="shared" si="3"/>
        <v>13677938.22</v>
      </c>
      <c r="X19" s="1">
        <f t="shared" si="4"/>
        <v>2518734.42</v>
      </c>
      <c r="Y19" s="1">
        <f t="shared" si="5"/>
        <v>0</v>
      </c>
      <c r="Z19" s="11">
        <f>+'คชจ.หน่วยงาน63'!T19</f>
        <v>0</v>
      </c>
      <c r="AA19" s="11">
        <f>+'คชจ.หน่วยงาน63'!U19</f>
        <v>1255521.8399999999</v>
      </c>
      <c r="AB19" s="11">
        <f>+'คชจ.หน่วยงาน63'!V19</f>
        <v>0</v>
      </c>
      <c r="AC19" s="1">
        <f t="shared" si="6"/>
        <v>0</v>
      </c>
      <c r="AD19" s="1">
        <f t="shared" si="7"/>
        <v>1255521.8399999999</v>
      </c>
      <c r="AE19" s="1">
        <f t="shared" si="8"/>
        <v>0</v>
      </c>
      <c r="AF19" s="1">
        <f t="shared" si="9"/>
        <v>35205575.31</v>
      </c>
      <c r="AG19" s="1">
        <f t="shared" si="10"/>
        <v>7296371.819999999</v>
      </c>
      <c r="AH19" s="1">
        <f t="shared" si="11"/>
        <v>154917.16</v>
      </c>
      <c r="AI19" s="1">
        <f t="shared" si="12"/>
        <v>42656864.29</v>
      </c>
    </row>
    <row r="20" spans="1:35" s="6" customFormat="1" ht="18.75">
      <c r="A20" s="13" t="s">
        <v>19</v>
      </c>
      <c r="B20" s="11">
        <f>+'คชจ.หน่วยงาน63'!B20</f>
        <v>20098566.92</v>
      </c>
      <c r="C20" s="11">
        <f>+'คชจ.หน่วยงาน63'!C20</f>
        <v>6414134.23</v>
      </c>
      <c r="D20" s="11">
        <f>+'คชจ.หน่วยงาน63'!D20</f>
        <v>729493.5</v>
      </c>
      <c r="E20" s="11">
        <f>+'คชจ.หน่วยงาน63'!E20</f>
        <v>0</v>
      </c>
      <c r="F20" s="11">
        <f>+'คชจ.หน่วยงาน63'!F20</f>
        <v>0</v>
      </c>
      <c r="G20" s="11">
        <f>+'คชจ.หน่วยงาน63'!G20</f>
        <v>0</v>
      </c>
      <c r="H20" s="11">
        <f>+'คชจ.หน่วยงาน63'!H20</f>
        <v>0</v>
      </c>
      <c r="I20" s="11">
        <f>+'คชจ.หน่วยงาน63'!I20</f>
        <v>0</v>
      </c>
      <c r="J20" s="11">
        <f>+'คชจ.หน่วยงาน63'!J20</f>
        <v>0</v>
      </c>
      <c r="K20" s="11">
        <f>+'คชจ.หน่วยงาน63'!Q20</f>
        <v>1220216.16</v>
      </c>
      <c r="L20" s="11">
        <f>+'คชจ.หน่วยงาน63'!R20</f>
        <v>376390</v>
      </c>
      <c r="M20" s="11">
        <f>+'คชจ.หน่วยงาน63'!S20</f>
        <v>0</v>
      </c>
      <c r="N20" s="11">
        <f t="shared" si="0"/>
        <v>21318783.080000002</v>
      </c>
      <c r="O20" s="11">
        <f t="shared" si="1"/>
        <v>6790524.23</v>
      </c>
      <c r="P20" s="11">
        <f t="shared" si="2"/>
        <v>729493.5</v>
      </c>
      <c r="Q20" s="11">
        <f>+'คชจ.หน่วยงาน63'!K20</f>
        <v>385021.99</v>
      </c>
      <c r="R20" s="11">
        <f>+'คชจ.หน่วยงาน63'!L20</f>
        <v>1964208.94</v>
      </c>
      <c r="S20" s="11">
        <f>+'คชจ.หน่วยงาน63'!M20</f>
        <v>0</v>
      </c>
      <c r="T20" s="11">
        <f>+'คชจ.หน่วยงาน63'!N20</f>
        <v>4240751.52</v>
      </c>
      <c r="U20" s="11">
        <f>+'คชจ.หน่วยงาน63'!O20</f>
        <v>2302467.58</v>
      </c>
      <c r="V20" s="11">
        <f>+'คชจ.หน่วยงาน63'!P20</f>
        <v>0</v>
      </c>
      <c r="W20" s="1">
        <f t="shared" si="3"/>
        <v>4625773.51</v>
      </c>
      <c r="X20" s="1">
        <f t="shared" si="4"/>
        <v>4266676.52</v>
      </c>
      <c r="Y20" s="1">
        <f t="shared" si="5"/>
        <v>0</v>
      </c>
      <c r="Z20" s="11">
        <f>+'คชจ.หน่วยงาน63'!T20</f>
        <v>20000</v>
      </c>
      <c r="AA20" s="11">
        <f>+'คชจ.หน่วยงาน63'!U20</f>
        <v>0</v>
      </c>
      <c r="AB20" s="11">
        <f>+'คชจ.หน่วยงาน63'!V20</f>
        <v>0</v>
      </c>
      <c r="AC20" s="1">
        <f t="shared" si="6"/>
        <v>20000</v>
      </c>
      <c r="AD20" s="1">
        <f t="shared" si="7"/>
        <v>0</v>
      </c>
      <c r="AE20" s="1">
        <f t="shared" si="8"/>
        <v>0</v>
      </c>
      <c r="AF20" s="1">
        <f t="shared" si="9"/>
        <v>25964556.590000004</v>
      </c>
      <c r="AG20" s="1">
        <f t="shared" si="10"/>
        <v>11057200.75</v>
      </c>
      <c r="AH20" s="1">
        <f t="shared" si="11"/>
        <v>729493.5</v>
      </c>
      <c r="AI20" s="1">
        <f t="shared" si="12"/>
        <v>37751250.84</v>
      </c>
    </row>
    <row r="21" spans="1:35" s="6" customFormat="1" ht="18.75">
      <c r="A21" s="13" t="s">
        <v>20</v>
      </c>
      <c r="B21" s="11">
        <f>+'คชจ.หน่วยงาน63'!B21</f>
        <v>21540739.36</v>
      </c>
      <c r="C21" s="11">
        <f>+'คชจ.หน่วยงาน63'!C21</f>
        <v>1615659.48</v>
      </c>
      <c r="D21" s="11">
        <f>+'คชจ.หน่วยงาน63'!D21</f>
        <v>357320.16000000003</v>
      </c>
      <c r="E21" s="11">
        <f>+'คชจ.หน่วยงาน63'!E21</f>
        <v>158375</v>
      </c>
      <c r="F21" s="11">
        <f>+'คชจ.หน่วยงาน63'!F21</f>
        <v>424526.64</v>
      </c>
      <c r="G21" s="11">
        <f>+'คชจ.หน่วยงาน63'!G21</f>
        <v>0</v>
      </c>
      <c r="H21" s="11">
        <f>+'คชจ.หน่วยงาน63'!H21</f>
        <v>93258</v>
      </c>
      <c r="I21" s="11">
        <f>+'คชจ.หน่วยงาน63'!I21</f>
        <v>15892</v>
      </c>
      <c r="J21" s="11">
        <f>+'คชจ.หน่วยงาน63'!J21</f>
        <v>0</v>
      </c>
      <c r="K21" s="11">
        <f>+'คชจ.หน่วยงาน63'!Q21</f>
        <v>0</v>
      </c>
      <c r="L21" s="11">
        <f>+'คชจ.หน่วยงาน63'!R21</f>
        <v>1862700</v>
      </c>
      <c r="M21" s="11">
        <f>+'คชจ.หน่วยงาน63'!S21</f>
        <v>0</v>
      </c>
      <c r="N21" s="11">
        <f t="shared" si="0"/>
        <v>21792372.36</v>
      </c>
      <c r="O21" s="11">
        <f t="shared" si="1"/>
        <v>3918778.12</v>
      </c>
      <c r="P21" s="11">
        <f t="shared" si="2"/>
        <v>357320.16000000003</v>
      </c>
      <c r="Q21" s="11">
        <f>+'คชจ.หน่วยงาน63'!K21</f>
        <v>1548735.06</v>
      </c>
      <c r="R21" s="11">
        <f>+'คชจ.หน่วยงาน63'!L21</f>
        <v>473359.08</v>
      </c>
      <c r="S21" s="11">
        <f>+'คชจ.หน่วยงาน63'!M21</f>
        <v>0</v>
      </c>
      <c r="T21" s="11">
        <f>+'คชจ.หน่วยงาน63'!N21</f>
        <v>5234329.81</v>
      </c>
      <c r="U21" s="11">
        <f>+'คชจ.หน่วยงาน63'!O21</f>
        <v>466495.2</v>
      </c>
      <c r="V21" s="11">
        <f>+'คชจ.หน่วยงาน63'!P21</f>
        <v>0</v>
      </c>
      <c r="W21" s="1">
        <f t="shared" si="3"/>
        <v>6783064.869999999</v>
      </c>
      <c r="X21" s="1">
        <f t="shared" si="4"/>
        <v>939854.28</v>
      </c>
      <c r="Y21" s="1">
        <f t="shared" si="5"/>
        <v>0</v>
      </c>
      <c r="Z21" s="11">
        <f>+'คชจ.หน่วยงาน63'!T21</f>
        <v>0</v>
      </c>
      <c r="AA21" s="11">
        <f>+'คชจ.หน่วยงาน63'!U21</f>
        <v>0</v>
      </c>
      <c r="AB21" s="11">
        <f>+'คชจ.หน่วยงาน63'!V21</f>
        <v>0</v>
      </c>
      <c r="AC21" s="1">
        <f t="shared" si="6"/>
        <v>0</v>
      </c>
      <c r="AD21" s="1">
        <f t="shared" si="7"/>
        <v>0</v>
      </c>
      <c r="AE21" s="1">
        <f t="shared" si="8"/>
        <v>0</v>
      </c>
      <c r="AF21" s="1">
        <f t="shared" si="9"/>
        <v>28575437.229999997</v>
      </c>
      <c r="AG21" s="1">
        <f t="shared" si="10"/>
        <v>4858632.4</v>
      </c>
      <c r="AH21" s="1">
        <f t="shared" si="11"/>
        <v>357320.16000000003</v>
      </c>
      <c r="AI21" s="1">
        <f t="shared" si="12"/>
        <v>33791389.78999999</v>
      </c>
    </row>
    <row r="22" spans="1:35" s="6" customFormat="1" ht="18.75">
      <c r="A22" s="118" t="s">
        <v>292</v>
      </c>
      <c r="B22" s="11">
        <f>+'คชจ.หน่วยงาน63'!B22</f>
        <v>15879285.85</v>
      </c>
      <c r="C22" s="11">
        <f>+'คชจ.หน่วยงาน63'!C22</f>
        <v>2388340.98</v>
      </c>
      <c r="D22" s="11">
        <f>+'คชจ.หน่วยงาน63'!D22</f>
        <v>295003.61</v>
      </c>
      <c r="E22" s="11">
        <f>+'คชจ.หน่วยงาน63'!E22</f>
        <v>75000</v>
      </c>
      <c r="F22" s="11">
        <f>+'คชจ.หน่วยงาน63'!F22</f>
        <v>336077</v>
      </c>
      <c r="G22" s="11">
        <f>+'คชจ.หน่วยงาน63'!G22</f>
        <v>0</v>
      </c>
      <c r="H22" s="11">
        <f>+'คชจ.หน่วยงาน63'!H22</f>
        <v>198151.99</v>
      </c>
      <c r="I22" s="11">
        <f>+'คชจ.หน่วยงาน63'!I22</f>
        <v>219691.58000000002</v>
      </c>
      <c r="J22" s="11">
        <f>+'คชจ.หน่วยงาน63'!J22</f>
        <v>0</v>
      </c>
      <c r="K22" s="11">
        <f>+'คชจ.หน่วยงาน63'!Q22</f>
        <v>0</v>
      </c>
      <c r="L22" s="11">
        <f>+'คชจ.หน่วยงาน63'!R22</f>
        <v>1454260</v>
      </c>
      <c r="M22" s="11">
        <f>+'คชจ.หน่วยงาน63'!S22</f>
        <v>0</v>
      </c>
      <c r="N22" s="11">
        <f t="shared" si="0"/>
        <v>16152437.84</v>
      </c>
      <c r="O22" s="11">
        <f t="shared" si="1"/>
        <v>4398369.5600000005</v>
      </c>
      <c r="P22" s="11">
        <f t="shared" si="2"/>
        <v>295003.61</v>
      </c>
      <c r="Q22" s="11">
        <f>+'คชจ.หน่วยงาน63'!K22</f>
        <v>743076.15</v>
      </c>
      <c r="R22" s="11">
        <f>+'คชจ.หน่วยงาน63'!L22</f>
        <v>919565.4</v>
      </c>
      <c r="S22" s="11">
        <f>+'คชจ.หน่วยงาน63'!M22</f>
        <v>0</v>
      </c>
      <c r="T22" s="11">
        <f>+'คชจ.หน่วยงาน63'!N22</f>
        <v>1660947.26</v>
      </c>
      <c r="U22" s="11">
        <f>+'คชจ.หน่วยงาน63'!O22</f>
        <v>284166.04</v>
      </c>
      <c r="V22" s="11">
        <f>+'คชจ.หน่วยงาน63'!P22</f>
        <v>0</v>
      </c>
      <c r="W22" s="1">
        <f t="shared" si="3"/>
        <v>2404023.41</v>
      </c>
      <c r="X22" s="1">
        <f t="shared" si="4"/>
        <v>1203731.44</v>
      </c>
      <c r="Y22" s="1">
        <f t="shared" si="5"/>
        <v>0</v>
      </c>
      <c r="Z22" s="11">
        <f>+'คชจ.หน่วยงาน63'!T22</f>
        <v>0</v>
      </c>
      <c r="AA22" s="11">
        <f>+'คชจ.หน่วยงาน63'!U22</f>
        <v>0</v>
      </c>
      <c r="AB22" s="11">
        <f>+'คชจ.หน่วยงาน63'!V22</f>
        <v>0</v>
      </c>
      <c r="AC22" s="1">
        <f t="shared" si="6"/>
        <v>0</v>
      </c>
      <c r="AD22" s="1">
        <f t="shared" si="7"/>
        <v>0</v>
      </c>
      <c r="AE22" s="1">
        <f t="shared" si="8"/>
        <v>0</v>
      </c>
      <c r="AF22" s="1">
        <f t="shared" si="9"/>
        <v>18556461.25</v>
      </c>
      <c r="AG22" s="1">
        <f t="shared" si="10"/>
        <v>5602101</v>
      </c>
      <c r="AH22" s="1">
        <f t="shared" si="11"/>
        <v>295003.61</v>
      </c>
      <c r="AI22" s="1">
        <f t="shared" si="12"/>
        <v>24453565.86</v>
      </c>
    </row>
    <row r="23" spans="1:35" s="6" customFormat="1" ht="18.75">
      <c r="A23" s="50" t="s">
        <v>213</v>
      </c>
      <c r="B23" s="11">
        <f>+'คชจ.หน่วยงาน63'!B23</f>
        <v>8486151.62</v>
      </c>
      <c r="C23" s="11">
        <f>+'คชจ.หน่วยงาน63'!C23</f>
        <v>1619768.22</v>
      </c>
      <c r="D23" s="11">
        <f>+'คชจ.หน่วยงาน63'!D23</f>
        <v>352380.7</v>
      </c>
      <c r="E23" s="11">
        <f>+'คชจ.หน่วยงาน63'!E23</f>
        <v>79360</v>
      </c>
      <c r="F23" s="11">
        <f>+'คชจ.หน่วยงาน63'!F23</f>
        <v>170928.07</v>
      </c>
      <c r="G23" s="11">
        <f>+'คชจ.หน่วยงาน63'!G23</f>
        <v>0</v>
      </c>
      <c r="H23" s="11">
        <f>+'คชจ.หน่วยงาน63'!H23</f>
        <v>101797</v>
      </c>
      <c r="I23" s="11">
        <f>+'คชจ.หน่วยงาน63'!I23</f>
        <v>20891</v>
      </c>
      <c r="J23" s="11">
        <f>+'คชจ.หน่วยงาน63'!J23</f>
        <v>0</v>
      </c>
      <c r="K23" s="11">
        <f>+'คชจ.หน่วยงาน63'!Q23</f>
        <v>0</v>
      </c>
      <c r="L23" s="11">
        <f>+'คชจ.หน่วยงาน63'!R23</f>
        <v>1186750</v>
      </c>
      <c r="M23" s="11">
        <f>+'คชจ.หน่วยงาน63'!S23</f>
        <v>0</v>
      </c>
      <c r="N23" s="11">
        <f t="shared" si="0"/>
        <v>8667308.62</v>
      </c>
      <c r="O23" s="11">
        <f t="shared" si="1"/>
        <v>2998337.29</v>
      </c>
      <c r="P23" s="11">
        <f t="shared" si="2"/>
        <v>352380.7</v>
      </c>
      <c r="Q23" s="11">
        <f>+'คชจ.หน่วยงาน63'!K23</f>
        <v>1062220.41</v>
      </c>
      <c r="R23" s="11">
        <f>+'คชจ.หน่วยงาน63'!L23</f>
        <v>863066.17</v>
      </c>
      <c r="S23" s="11">
        <f>+'คชจ.หน่วยงาน63'!M23</f>
        <v>0</v>
      </c>
      <c r="T23" s="11">
        <f>+'คชจ.หน่วยงาน63'!N23</f>
        <v>1611382.79</v>
      </c>
      <c r="U23" s="11">
        <f>+'คชจ.หน่วยงาน63'!O23</f>
        <v>16580.86</v>
      </c>
      <c r="V23" s="11">
        <f>+'คชจ.หน่วยงาน63'!P23</f>
        <v>0</v>
      </c>
      <c r="W23" s="1">
        <f t="shared" si="3"/>
        <v>2673603.2</v>
      </c>
      <c r="X23" s="1">
        <f t="shared" si="4"/>
        <v>879647.03</v>
      </c>
      <c r="Y23" s="1">
        <f t="shared" si="5"/>
        <v>0</v>
      </c>
      <c r="Z23" s="11">
        <f>+'คชจ.หน่วยงาน63'!T23</f>
        <v>0</v>
      </c>
      <c r="AA23" s="11">
        <f>+'คชจ.หน่วยงาน63'!U23</f>
        <v>0</v>
      </c>
      <c r="AB23" s="11">
        <f>+'คชจ.หน่วยงาน63'!V23</f>
        <v>0</v>
      </c>
      <c r="AC23" s="1">
        <f t="shared" si="6"/>
        <v>0</v>
      </c>
      <c r="AD23" s="1">
        <f t="shared" si="7"/>
        <v>0</v>
      </c>
      <c r="AE23" s="1">
        <f t="shared" si="8"/>
        <v>0</v>
      </c>
      <c r="AF23" s="1">
        <f t="shared" si="9"/>
        <v>11340911.82</v>
      </c>
      <c r="AG23" s="1">
        <f t="shared" si="10"/>
        <v>3877984.3200000003</v>
      </c>
      <c r="AH23" s="1">
        <f t="shared" si="11"/>
        <v>352380.7</v>
      </c>
      <c r="AI23" s="1">
        <f t="shared" si="12"/>
        <v>15571276.84</v>
      </c>
    </row>
    <row r="24" spans="1:35" s="6" customFormat="1" ht="19.5" thickBot="1">
      <c r="A24" s="50" t="s">
        <v>214</v>
      </c>
      <c r="B24" s="15">
        <f>+'คชจ.หน่วยงาน63'!B24</f>
        <v>2178360</v>
      </c>
      <c r="C24" s="15">
        <f>+'คชจ.หน่วยงาน63'!C24</f>
        <v>2152121</v>
      </c>
      <c r="D24" s="15">
        <f>+'คชจ.หน่วยงาน63'!D24</f>
        <v>287951.69</v>
      </c>
      <c r="E24" s="15">
        <f>+'คชจ.หน่วยงาน63'!E24</f>
        <v>0</v>
      </c>
      <c r="F24" s="15">
        <f>+'คชจ.หน่วยงาน63'!F24</f>
        <v>0</v>
      </c>
      <c r="G24" s="15">
        <f>+'คชจ.หน่วยงาน63'!G24</f>
        <v>0</v>
      </c>
      <c r="H24" s="15">
        <f>+'คชจ.หน่วยงาน63'!H24</f>
        <v>0</v>
      </c>
      <c r="I24" s="15">
        <f>+'คชจ.หน่วยงาน63'!I24</f>
        <v>0</v>
      </c>
      <c r="J24" s="15">
        <f>+'คชจ.หน่วยงาน63'!J24</f>
        <v>0</v>
      </c>
      <c r="K24" s="15">
        <f>+'คชจ.หน่วยงาน63'!Q24</f>
        <v>24414255.83</v>
      </c>
      <c r="L24" s="15">
        <f>+'คชจ.หน่วยงาน63'!R24</f>
        <v>1141500</v>
      </c>
      <c r="M24" s="15">
        <f>+'คชจ.หน่วยงาน63'!S24</f>
        <v>0</v>
      </c>
      <c r="N24" s="15">
        <f t="shared" si="0"/>
        <v>26592615.83</v>
      </c>
      <c r="O24" s="15">
        <f t="shared" si="1"/>
        <v>3293621</v>
      </c>
      <c r="P24" s="15">
        <f t="shared" si="2"/>
        <v>287951.69</v>
      </c>
      <c r="Q24" s="15">
        <f>+'คชจ.หน่วยงาน63'!K24</f>
        <v>2635924.63</v>
      </c>
      <c r="R24" s="15">
        <f>+'คชจ.หน่วยงาน63'!L24</f>
        <v>1274425.2</v>
      </c>
      <c r="S24" s="15">
        <f>+'คชจ.หน่วยงาน63'!M24</f>
        <v>0</v>
      </c>
      <c r="T24" s="15">
        <f>+'คชจ.หน่วยงาน63'!N24</f>
        <v>18148339.35</v>
      </c>
      <c r="U24" s="15">
        <f>+'คชจ.หน่วยงาน63'!O24</f>
        <v>1654892.11</v>
      </c>
      <c r="V24" s="15">
        <f>+'คชจ.หน่วยงาน63'!P24</f>
        <v>0</v>
      </c>
      <c r="W24" s="8">
        <f t="shared" si="3"/>
        <v>20784263.98</v>
      </c>
      <c r="X24" s="8">
        <f t="shared" si="4"/>
        <v>2929317.31</v>
      </c>
      <c r="Y24" s="8">
        <f t="shared" si="5"/>
        <v>0</v>
      </c>
      <c r="Z24" s="15">
        <f>+'คชจ.หน่วยงาน63'!T24</f>
        <v>0</v>
      </c>
      <c r="AA24" s="15">
        <f>+'คชจ.หน่วยงาน63'!U24</f>
        <v>756604</v>
      </c>
      <c r="AB24" s="15">
        <f>+'คชจ.หน่วยงาน63'!V24</f>
        <v>0</v>
      </c>
      <c r="AC24" s="8">
        <f t="shared" si="6"/>
        <v>0</v>
      </c>
      <c r="AD24" s="8">
        <f t="shared" si="7"/>
        <v>756604</v>
      </c>
      <c r="AE24" s="8">
        <f t="shared" si="8"/>
        <v>0</v>
      </c>
      <c r="AF24" s="8">
        <f t="shared" si="9"/>
        <v>47376879.81</v>
      </c>
      <c r="AG24" s="8">
        <f t="shared" si="10"/>
        <v>6979542.3100000005</v>
      </c>
      <c r="AH24" s="8">
        <f t="shared" si="11"/>
        <v>287951.69</v>
      </c>
      <c r="AI24" s="8">
        <f t="shared" si="12"/>
        <v>54644373.81</v>
      </c>
    </row>
    <row r="25" spans="1:46" s="9" customFormat="1" ht="19.5" thickBot="1">
      <c r="A25" s="119" t="s">
        <v>22</v>
      </c>
      <c r="B25" s="124">
        <f>+'คชจ.หน่วยงาน63'!B25</f>
        <v>270978366.23</v>
      </c>
      <c r="C25" s="124">
        <f>+'คชจ.หน่วยงาน63'!C25</f>
        <v>42832972.019999996</v>
      </c>
      <c r="D25" s="124">
        <f>+'คชจ.หน่วยงาน63'!D25</f>
        <v>8891407.52</v>
      </c>
      <c r="E25" s="124">
        <f>+'คชจ.หน่วยงาน63'!E25</f>
        <v>312735</v>
      </c>
      <c r="F25" s="124">
        <f>+'คชจ.หน่วยงาน63'!F25</f>
        <v>1611248.7100000002</v>
      </c>
      <c r="G25" s="124">
        <f>+'คชจ.หน่วยงาน63'!G25</f>
        <v>0</v>
      </c>
      <c r="H25" s="124">
        <f>+'คชจ.หน่วยงาน63'!H25</f>
        <v>622612.6</v>
      </c>
      <c r="I25" s="124">
        <f>+'คชจ.หน่วยงาน63'!I25</f>
        <v>551683.3200000001</v>
      </c>
      <c r="J25" s="124">
        <f>+'คชจ.หน่วยงาน63'!J25</f>
        <v>0</v>
      </c>
      <c r="K25" s="124">
        <f>+'คชจ.หน่วยงาน63'!Q25</f>
        <v>28564992.189999998</v>
      </c>
      <c r="L25" s="124">
        <f>+'คชจ.หน่วยงาน63'!R25</f>
        <v>21513580.28</v>
      </c>
      <c r="M25" s="124">
        <f>+'คชจ.หน่วยงาน63'!S25</f>
        <v>0</v>
      </c>
      <c r="N25" s="124">
        <f t="shared" si="0"/>
        <v>300478706.02000004</v>
      </c>
      <c r="O25" s="124">
        <f t="shared" si="1"/>
        <v>66509484.33</v>
      </c>
      <c r="P25" s="124">
        <f t="shared" si="2"/>
        <v>8891407.52</v>
      </c>
      <c r="Q25" s="124">
        <f>+'คชจ.หน่วยงาน63'!K25</f>
        <v>32797426.419999994</v>
      </c>
      <c r="R25" s="124">
        <f>+'คชจ.หน่วยงาน63'!L25</f>
        <v>44030741.47</v>
      </c>
      <c r="S25" s="124">
        <f>+'คชจ.หน่วยงาน63'!M25</f>
        <v>0</v>
      </c>
      <c r="T25" s="124">
        <f>+'คชจ.หน่วยงาน63'!N25</f>
        <v>161894418.59</v>
      </c>
      <c r="U25" s="124">
        <f>+'คชจ.หน่วยงาน63'!O25</f>
        <v>22129870.079999994</v>
      </c>
      <c r="V25" s="124">
        <f>+'คชจ.หน่วยงาน63'!P25</f>
        <v>0</v>
      </c>
      <c r="W25" s="125">
        <f t="shared" si="3"/>
        <v>194691845.01</v>
      </c>
      <c r="X25" s="125">
        <f t="shared" si="4"/>
        <v>66160611.55</v>
      </c>
      <c r="Y25" s="125">
        <f t="shared" si="5"/>
        <v>0</v>
      </c>
      <c r="Z25" s="124">
        <f>+'คชจ.หน่วยงาน63'!T25</f>
        <v>12699203</v>
      </c>
      <c r="AA25" s="124">
        <f>+'คชจ.หน่วยงาน63'!U25</f>
        <v>12575539.14</v>
      </c>
      <c r="AB25" s="124">
        <f>+'คชจ.หน่วยงาน63'!V25</f>
        <v>0</v>
      </c>
      <c r="AC25" s="125">
        <f t="shared" si="6"/>
        <v>12699203</v>
      </c>
      <c r="AD25" s="125">
        <f t="shared" si="7"/>
        <v>12575539.14</v>
      </c>
      <c r="AE25" s="125">
        <f t="shared" si="8"/>
        <v>0</v>
      </c>
      <c r="AF25" s="125">
        <f t="shared" si="9"/>
        <v>507869754.03000003</v>
      </c>
      <c r="AG25" s="125">
        <f t="shared" si="10"/>
        <v>145245635.01999998</v>
      </c>
      <c r="AH25" s="125">
        <f t="shared" si="11"/>
        <v>8891407.52</v>
      </c>
      <c r="AI25" s="125">
        <f t="shared" si="12"/>
        <v>662006796.5699999</v>
      </c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35" s="6" customFormat="1" ht="18.75">
      <c r="A26" s="41" t="s">
        <v>23</v>
      </c>
      <c r="B26" s="123">
        <f>+'คชจ.หน่วยงาน63'!B26</f>
        <v>0</v>
      </c>
      <c r="C26" s="123">
        <f>+'คชจ.หน่วยงาน63'!C26</f>
        <v>0</v>
      </c>
      <c r="D26" s="123">
        <f>+'คชจ.หน่วยงาน63'!D26</f>
        <v>0</v>
      </c>
      <c r="E26" s="123">
        <f>+'คชจ.หน่วยงาน63'!E26</f>
        <v>0</v>
      </c>
      <c r="F26" s="123">
        <f>+'คชจ.หน่วยงาน63'!F26</f>
        <v>0</v>
      </c>
      <c r="G26" s="123">
        <f>+'คชจ.หน่วยงาน63'!G26</f>
        <v>0</v>
      </c>
      <c r="H26" s="123">
        <f>+'คชจ.หน่วยงาน63'!H26</f>
        <v>0</v>
      </c>
      <c r="I26" s="123">
        <f>+'คชจ.หน่วยงาน63'!I26</f>
        <v>0</v>
      </c>
      <c r="J26" s="123">
        <f>+'คชจ.หน่วยงาน63'!J26</f>
        <v>0</v>
      </c>
      <c r="K26" s="123">
        <f>+'คชจ.หน่วยงาน63'!Q26</f>
        <v>0</v>
      </c>
      <c r="L26" s="123">
        <f>+'คชจ.หน่วยงาน63'!R26</f>
        <v>0</v>
      </c>
      <c r="M26" s="123">
        <f>+'คชจ.หน่วยงาน63'!S26</f>
        <v>0</v>
      </c>
      <c r="N26" s="123">
        <f t="shared" si="0"/>
        <v>0</v>
      </c>
      <c r="O26" s="123">
        <f t="shared" si="1"/>
        <v>0</v>
      </c>
      <c r="P26" s="123">
        <f t="shared" si="2"/>
        <v>0</v>
      </c>
      <c r="Q26" s="123">
        <f>+'คชจ.หน่วยงาน63'!K26</f>
        <v>0</v>
      </c>
      <c r="R26" s="123">
        <f>+'คชจ.หน่วยงาน63'!L26</f>
        <v>0</v>
      </c>
      <c r="S26" s="123">
        <f>+'คชจ.หน่วยงาน63'!M26</f>
        <v>0</v>
      </c>
      <c r="T26" s="123">
        <f>+'คชจ.หน่วยงาน63'!N26</f>
        <v>0</v>
      </c>
      <c r="U26" s="123">
        <f>+'คชจ.หน่วยงาน63'!O26</f>
        <v>0</v>
      </c>
      <c r="V26" s="123">
        <f>+'คชจ.หน่วยงาน63'!P26</f>
        <v>0</v>
      </c>
      <c r="W26" s="10">
        <f t="shared" si="3"/>
        <v>0</v>
      </c>
      <c r="X26" s="10">
        <f t="shared" si="4"/>
        <v>0</v>
      </c>
      <c r="Y26" s="10">
        <f t="shared" si="5"/>
        <v>0</v>
      </c>
      <c r="Z26" s="123">
        <f>+'คชจ.หน่วยงาน63'!T26</f>
        <v>0</v>
      </c>
      <c r="AA26" s="123">
        <f>+'คชจ.หน่วยงาน63'!U26</f>
        <v>0</v>
      </c>
      <c r="AB26" s="123">
        <f>+'คชจ.หน่วยงาน63'!V26</f>
        <v>0</v>
      </c>
      <c r="AC26" s="10">
        <f t="shared" si="6"/>
        <v>0</v>
      </c>
      <c r="AD26" s="10">
        <f t="shared" si="7"/>
        <v>0</v>
      </c>
      <c r="AE26" s="10">
        <f t="shared" si="8"/>
        <v>0</v>
      </c>
      <c r="AF26" s="10">
        <f t="shared" si="9"/>
        <v>0</v>
      </c>
      <c r="AG26" s="10">
        <f t="shared" si="10"/>
        <v>0</v>
      </c>
      <c r="AH26" s="10">
        <f t="shared" si="11"/>
        <v>0</v>
      </c>
      <c r="AI26" s="10">
        <f t="shared" si="12"/>
        <v>0</v>
      </c>
    </row>
    <row r="27" spans="1:35" s="6" customFormat="1" ht="18.75">
      <c r="A27" s="1" t="s">
        <v>261</v>
      </c>
      <c r="B27" s="11">
        <f>+'คชจ.หน่วยงาน63'!B27</f>
        <v>274444007.52</v>
      </c>
      <c r="C27" s="11">
        <f>+'คชจ.หน่วยงาน63'!C27</f>
        <v>5843996.58</v>
      </c>
      <c r="D27" s="11">
        <f>+'คชจ.หน่วยงาน63'!D27</f>
        <v>0</v>
      </c>
      <c r="E27" s="11">
        <f>+'คชจ.หน่วยงาน63'!E27</f>
        <v>0</v>
      </c>
      <c r="F27" s="11">
        <f>+'คชจ.หน่วยงาน63'!F27</f>
        <v>0</v>
      </c>
      <c r="G27" s="11">
        <f>+'คชจ.หน่วยงาน63'!G27</f>
        <v>0</v>
      </c>
      <c r="H27" s="11">
        <f>+'คชจ.หน่วยงาน63'!H27</f>
        <v>0</v>
      </c>
      <c r="I27" s="11">
        <f>+'คชจ.หน่วยงาน63'!I27</f>
        <v>0</v>
      </c>
      <c r="J27" s="11">
        <f>+'คชจ.หน่วยงาน63'!J27</f>
        <v>0</v>
      </c>
      <c r="K27" s="11">
        <f>+'คชจ.หน่วยงาน63'!Q27</f>
        <v>3510920</v>
      </c>
      <c r="L27" s="11">
        <f>+'คชจ.หน่วยงาน63'!R27</f>
        <v>28528200</v>
      </c>
      <c r="M27" s="11">
        <f>+'คชจ.หน่วยงาน63'!S27</f>
        <v>0</v>
      </c>
      <c r="N27" s="11">
        <f t="shared" si="0"/>
        <v>277954927.52</v>
      </c>
      <c r="O27" s="11">
        <f t="shared" si="1"/>
        <v>34372196.58</v>
      </c>
      <c r="P27" s="11">
        <f t="shared" si="2"/>
        <v>0</v>
      </c>
      <c r="Q27" s="11">
        <f>+'คชจ.หน่วยงาน63'!K27</f>
        <v>41795085.57</v>
      </c>
      <c r="R27" s="11">
        <f>+'คชจ.หน่วยงาน63'!L27</f>
        <v>38351674.05</v>
      </c>
      <c r="S27" s="11">
        <f>+'คชจ.หน่วยงาน63'!M27</f>
        <v>0</v>
      </c>
      <c r="T27" s="11">
        <f>+'คชจ.หน่วยงาน63'!N27</f>
        <v>15278926.21</v>
      </c>
      <c r="U27" s="11">
        <f>+'คชจ.หน่วยงาน63'!O27</f>
        <v>7802584.32</v>
      </c>
      <c r="V27" s="11">
        <f>+'คชจ.หน่วยงาน63'!P27</f>
        <v>0</v>
      </c>
      <c r="W27" s="1">
        <f t="shared" si="3"/>
        <v>57074011.78</v>
      </c>
      <c r="X27" s="1">
        <f t="shared" si="4"/>
        <v>46154258.37</v>
      </c>
      <c r="Y27" s="1">
        <f t="shared" si="5"/>
        <v>0</v>
      </c>
      <c r="Z27" s="11">
        <f>+'คชจ.หน่วยงาน63'!T27</f>
        <v>7692249</v>
      </c>
      <c r="AA27" s="11">
        <f>+'คชจ.หน่วยงาน63'!U27</f>
        <v>19364569.94</v>
      </c>
      <c r="AB27" s="11">
        <f>+'คชจ.หน่วยงาน63'!V27</f>
        <v>0</v>
      </c>
      <c r="AC27" s="1">
        <f t="shared" si="6"/>
        <v>7692249</v>
      </c>
      <c r="AD27" s="1">
        <f t="shared" si="7"/>
        <v>19364569.94</v>
      </c>
      <c r="AE27" s="1">
        <f t="shared" si="8"/>
        <v>0</v>
      </c>
      <c r="AF27" s="1">
        <f t="shared" si="9"/>
        <v>342721188.29999995</v>
      </c>
      <c r="AG27" s="1">
        <f t="shared" si="10"/>
        <v>99891024.88999999</v>
      </c>
      <c r="AH27" s="1">
        <f t="shared" si="11"/>
        <v>0</v>
      </c>
      <c r="AI27" s="1">
        <f t="shared" si="12"/>
        <v>442612213.18999994</v>
      </c>
    </row>
    <row r="28" spans="1:35" s="6" customFormat="1" ht="18.75">
      <c r="A28" s="121" t="s">
        <v>262</v>
      </c>
      <c r="B28" s="11">
        <f>+'คชจ.หน่วยงาน63'!B28</f>
        <v>0</v>
      </c>
      <c r="C28" s="11">
        <f>+'คชจ.หน่วยงาน63'!C28</f>
        <v>3132583.83</v>
      </c>
      <c r="D28" s="11">
        <f>+'คชจ.หน่วยงาน63'!D28</f>
        <v>0</v>
      </c>
      <c r="E28" s="11">
        <f>+'คชจ.หน่วยงาน63'!E28</f>
        <v>0</v>
      </c>
      <c r="F28" s="11">
        <f>+'คชจ.หน่วยงาน63'!F28</f>
        <v>0</v>
      </c>
      <c r="G28" s="11">
        <f>+'คชจ.หน่วยงาน63'!G28</f>
        <v>0</v>
      </c>
      <c r="H28" s="11">
        <f>+'คชจ.หน่วยงาน63'!H28</f>
        <v>0</v>
      </c>
      <c r="I28" s="11">
        <f>+'คชจ.หน่วยงาน63'!I28</f>
        <v>0</v>
      </c>
      <c r="J28" s="11">
        <f>+'คชจ.หน่วยงาน63'!J28</f>
        <v>0</v>
      </c>
      <c r="K28" s="11">
        <f>+'คชจ.หน่วยงาน63'!Q28</f>
        <v>0</v>
      </c>
      <c r="L28" s="11">
        <f>+'คชจ.หน่วยงาน63'!R28</f>
        <v>298334</v>
      </c>
      <c r="M28" s="11">
        <f>+'คชจ.หน่วยงาน63'!S28</f>
        <v>0</v>
      </c>
      <c r="N28" s="11">
        <f t="shared" si="0"/>
        <v>0</v>
      </c>
      <c r="O28" s="11">
        <f t="shared" si="1"/>
        <v>3430917.83</v>
      </c>
      <c r="P28" s="11">
        <f t="shared" si="2"/>
        <v>0</v>
      </c>
      <c r="Q28" s="11">
        <f>+'คชจ.หน่วยงาน63'!K28</f>
        <v>6575383.8</v>
      </c>
      <c r="R28" s="11">
        <f>+'คชจ.หน่วยงาน63'!L28</f>
        <v>2282796.65</v>
      </c>
      <c r="S28" s="11">
        <f>+'คชจ.หน่วยงาน63'!M28</f>
        <v>0</v>
      </c>
      <c r="T28" s="11">
        <f>+'คชจ.หน่วยงาน63'!N28</f>
        <v>0</v>
      </c>
      <c r="U28" s="11">
        <f>+'คชจ.หน่วยงาน63'!O28</f>
        <v>0</v>
      </c>
      <c r="V28" s="11">
        <f>+'คชจ.หน่วยงาน63'!P28</f>
        <v>0</v>
      </c>
      <c r="W28" s="1">
        <f t="shared" si="3"/>
        <v>6575383.8</v>
      </c>
      <c r="X28" s="1">
        <f t="shared" si="4"/>
        <v>2282796.65</v>
      </c>
      <c r="Y28" s="1">
        <f t="shared" si="5"/>
        <v>0</v>
      </c>
      <c r="Z28" s="11">
        <f>+'คชจ.หน่วยงาน63'!T28</f>
        <v>0</v>
      </c>
      <c r="AA28" s="11">
        <f>+'คชจ.หน่วยงาน63'!U28</f>
        <v>3646907.1</v>
      </c>
      <c r="AB28" s="11">
        <f>+'คชจ.หน่วยงาน63'!V28</f>
        <v>0</v>
      </c>
      <c r="AC28" s="1">
        <f t="shared" si="6"/>
        <v>0</v>
      </c>
      <c r="AD28" s="1">
        <f t="shared" si="7"/>
        <v>3646907.1</v>
      </c>
      <c r="AE28" s="1">
        <f t="shared" si="8"/>
        <v>0</v>
      </c>
      <c r="AF28" s="1">
        <f t="shared" si="9"/>
        <v>6575383.8</v>
      </c>
      <c r="AG28" s="1">
        <f t="shared" si="10"/>
        <v>9360621.58</v>
      </c>
      <c r="AH28" s="1">
        <f t="shared" si="11"/>
        <v>0</v>
      </c>
      <c r="AI28" s="1">
        <f t="shared" si="12"/>
        <v>15936005.379999999</v>
      </c>
    </row>
    <row r="29" spans="1:35" s="6" customFormat="1" ht="18.75">
      <c r="A29" s="1" t="s">
        <v>25</v>
      </c>
      <c r="B29" s="11">
        <f>+'คชจ.หน่วยงาน63'!B29</f>
        <v>3731803.07</v>
      </c>
      <c r="C29" s="11">
        <f>+'คชจ.หน่วยงาน63'!C29</f>
        <v>3914853.35</v>
      </c>
      <c r="D29" s="11">
        <f>+'คชจ.หน่วยงาน63'!D29</f>
        <v>0</v>
      </c>
      <c r="E29" s="11">
        <f>+'คชจ.หน่วยงาน63'!E29</f>
        <v>0</v>
      </c>
      <c r="F29" s="11">
        <f>+'คชจ.หน่วยงาน63'!F29</f>
        <v>10020</v>
      </c>
      <c r="G29" s="11">
        <f>+'คชจ.หน่วยงาน63'!G29</f>
        <v>0</v>
      </c>
      <c r="H29" s="11">
        <f>+'คชจ.หน่วยงาน63'!H29</f>
        <v>0</v>
      </c>
      <c r="I29" s="11">
        <f>+'คชจ.หน่วยงาน63'!I29</f>
        <v>18752</v>
      </c>
      <c r="J29" s="11">
        <f>+'คชจ.หน่วยงาน63'!J29</f>
        <v>0</v>
      </c>
      <c r="K29" s="11">
        <f>+'คชจ.หน่วยงาน63'!Q29</f>
        <v>2055593.84</v>
      </c>
      <c r="L29" s="11">
        <f>+'คชจ.หน่วยงาน63'!R29</f>
        <v>0</v>
      </c>
      <c r="M29" s="11">
        <f>+'คชจ.หน่วยงาน63'!S29</f>
        <v>0</v>
      </c>
      <c r="N29" s="11">
        <f t="shared" si="0"/>
        <v>5787396.91</v>
      </c>
      <c r="O29" s="11">
        <f t="shared" si="1"/>
        <v>3943625.35</v>
      </c>
      <c r="P29" s="11">
        <f t="shared" si="2"/>
        <v>0</v>
      </c>
      <c r="Q29" s="11">
        <f>+'คชจ.หน่วยงาน63'!K29</f>
        <v>798645</v>
      </c>
      <c r="R29" s="11">
        <f>+'คชจ.หน่วยงาน63'!L29</f>
        <v>3701410.83</v>
      </c>
      <c r="S29" s="11">
        <f>+'คชจ.หน่วยงาน63'!M29</f>
        <v>0</v>
      </c>
      <c r="T29" s="11">
        <f>+'คชจ.หน่วยงาน63'!N29</f>
        <v>1148502.86</v>
      </c>
      <c r="U29" s="11">
        <f>+'คชจ.หน่วยงาน63'!O29</f>
        <v>4239054.38</v>
      </c>
      <c r="V29" s="11">
        <f>+'คชจ.หน่วยงาน63'!P29</f>
        <v>0</v>
      </c>
      <c r="W29" s="1">
        <f t="shared" si="3"/>
        <v>1947147.86</v>
      </c>
      <c r="X29" s="1">
        <f t="shared" si="4"/>
        <v>7940465.21</v>
      </c>
      <c r="Y29" s="1">
        <f t="shared" si="5"/>
        <v>0</v>
      </c>
      <c r="Z29" s="11">
        <f>+'คชจ.หน่วยงาน63'!T29</f>
        <v>100000</v>
      </c>
      <c r="AA29" s="11">
        <f>+'คชจ.หน่วยงาน63'!U29</f>
        <v>0</v>
      </c>
      <c r="AB29" s="11">
        <f>+'คชจ.หน่วยงาน63'!V29</f>
        <v>0</v>
      </c>
      <c r="AC29" s="1">
        <f t="shared" si="6"/>
        <v>100000</v>
      </c>
      <c r="AD29" s="1">
        <f t="shared" si="7"/>
        <v>0</v>
      </c>
      <c r="AE29" s="1">
        <f t="shared" si="8"/>
        <v>0</v>
      </c>
      <c r="AF29" s="1">
        <f t="shared" si="9"/>
        <v>7834544.7700000005</v>
      </c>
      <c r="AG29" s="1">
        <f t="shared" si="10"/>
        <v>11884090.56</v>
      </c>
      <c r="AH29" s="1">
        <f t="shared" si="11"/>
        <v>0</v>
      </c>
      <c r="AI29" s="1">
        <f t="shared" si="12"/>
        <v>19718635.330000002</v>
      </c>
    </row>
    <row r="30" spans="1:35" s="6" customFormat="1" ht="18.75">
      <c r="A30" s="1" t="s">
        <v>26</v>
      </c>
      <c r="B30" s="11">
        <f>+'คชจ.หน่วยงาน63'!B30</f>
        <v>6224080.57</v>
      </c>
      <c r="C30" s="11">
        <f>+'คชจ.หน่วยงาน63'!C30</f>
        <v>1791369.55</v>
      </c>
      <c r="D30" s="11">
        <f>+'คชจ.หน่วยงาน63'!D30</f>
        <v>0</v>
      </c>
      <c r="E30" s="11">
        <f>+'คชจ.หน่วยงาน63'!E30</f>
        <v>64190.5</v>
      </c>
      <c r="F30" s="11">
        <f>+'คชจ.หน่วยงาน63'!F30</f>
        <v>338331</v>
      </c>
      <c r="G30" s="11">
        <f>+'คชจ.หน่วยงาน63'!G30</f>
        <v>0</v>
      </c>
      <c r="H30" s="11">
        <f>+'คชจ.หน่วยงาน63'!H30</f>
        <v>119309.4</v>
      </c>
      <c r="I30" s="11">
        <f>+'คชจ.หน่วยงาน63'!I30</f>
        <v>72780.4</v>
      </c>
      <c r="J30" s="11">
        <f>+'คชจ.หน่วยงาน63'!J30</f>
        <v>0</v>
      </c>
      <c r="K30" s="11">
        <f>+'คชจ.หน่วยงาน63'!Q30</f>
        <v>0</v>
      </c>
      <c r="L30" s="11">
        <f>+'คชจ.หน่วยงาน63'!R30</f>
        <v>0</v>
      </c>
      <c r="M30" s="11">
        <f>+'คชจ.หน่วยงาน63'!S30</f>
        <v>0</v>
      </c>
      <c r="N30" s="11">
        <f t="shared" si="0"/>
        <v>6407580.470000001</v>
      </c>
      <c r="O30" s="11">
        <f t="shared" si="1"/>
        <v>2202480.9499999997</v>
      </c>
      <c r="P30" s="11">
        <f t="shared" si="2"/>
        <v>0</v>
      </c>
      <c r="Q30" s="11">
        <f>+'คชจ.หน่วยงาน63'!K30</f>
        <v>4314318.57</v>
      </c>
      <c r="R30" s="11">
        <f>+'คชจ.หน่วยงาน63'!L30</f>
        <v>598880.27</v>
      </c>
      <c r="S30" s="11">
        <f>+'คชจ.หน่วยงาน63'!M30</f>
        <v>0</v>
      </c>
      <c r="T30" s="11">
        <f>+'คชจ.หน่วยงาน63'!N30</f>
        <v>15211692.809999999</v>
      </c>
      <c r="U30" s="11">
        <f>+'คชจ.หน่วยงาน63'!O30</f>
        <v>1139368.28</v>
      </c>
      <c r="V30" s="11">
        <f>+'คชจ.หน่วยงาน63'!P30</f>
        <v>0</v>
      </c>
      <c r="W30" s="1">
        <f t="shared" si="3"/>
        <v>19526011.38</v>
      </c>
      <c r="X30" s="1">
        <f t="shared" si="4"/>
        <v>1738248.55</v>
      </c>
      <c r="Y30" s="1">
        <f t="shared" si="5"/>
        <v>0</v>
      </c>
      <c r="Z30" s="11">
        <f>+'คชจ.หน่วยงาน63'!T30</f>
        <v>5300</v>
      </c>
      <c r="AA30" s="11">
        <f>+'คชจ.หน่วยงาน63'!U30</f>
        <v>10100</v>
      </c>
      <c r="AB30" s="11">
        <f>+'คชจ.หน่วยงาน63'!V30</f>
        <v>0</v>
      </c>
      <c r="AC30" s="1">
        <f t="shared" si="6"/>
        <v>5300</v>
      </c>
      <c r="AD30" s="1">
        <f t="shared" si="7"/>
        <v>10100</v>
      </c>
      <c r="AE30" s="1">
        <f t="shared" si="8"/>
        <v>0</v>
      </c>
      <c r="AF30" s="1">
        <f t="shared" si="9"/>
        <v>25938891.85</v>
      </c>
      <c r="AG30" s="1">
        <f t="shared" si="10"/>
        <v>3950829.5</v>
      </c>
      <c r="AH30" s="1">
        <f t="shared" si="11"/>
        <v>0</v>
      </c>
      <c r="AI30" s="1">
        <f t="shared" si="12"/>
        <v>29889721.35</v>
      </c>
    </row>
    <row r="31" spans="1:35" s="6" customFormat="1" ht="18.75">
      <c r="A31" s="1" t="s">
        <v>27</v>
      </c>
      <c r="B31" s="11">
        <f>+'คชจ.หน่วยงาน63'!B31</f>
        <v>10124914.65</v>
      </c>
      <c r="C31" s="11">
        <f>+'คชจ.หน่วยงาน63'!C31</f>
        <v>4934424.37</v>
      </c>
      <c r="D31" s="11">
        <f>+'คชจ.หน่วยงาน63'!D31</f>
        <v>64713</v>
      </c>
      <c r="E31" s="11">
        <f>+'คชจ.หน่วยงาน63'!E31</f>
        <v>118100</v>
      </c>
      <c r="F31" s="11">
        <f>+'คชจ.หน่วยงาน63'!F31</f>
        <v>52120</v>
      </c>
      <c r="G31" s="11">
        <f>+'คชจ.หน่วยงาน63'!G31</f>
        <v>0</v>
      </c>
      <c r="H31" s="11">
        <f>+'คชจ.หน่วยงาน63'!H31</f>
        <v>98478.32</v>
      </c>
      <c r="I31" s="11">
        <f>+'คชจ.หน่วยงาน63'!I31</f>
        <v>3760</v>
      </c>
      <c r="J31" s="11">
        <f>+'คชจ.หน่วยงาน63'!J31</f>
        <v>0</v>
      </c>
      <c r="K31" s="11">
        <f>+'คชจ.หน่วยงาน63'!Q31</f>
        <v>0</v>
      </c>
      <c r="L31" s="11">
        <f>+'คชจ.หน่วยงาน63'!R31</f>
        <v>0</v>
      </c>
      <c r="M31" s="11">
        <f>+'คชจ.หน่วยงาน63'!S31</f>
        <v>0</v>
      </c>
      <c r="N31" s="11">
        <f t="shared" si="0"/>
        <v>10341492.97</v>
      </c>
      <c r="O31" s="11">
        <f t="shared" si="1"/>
        <v>4990304.37</v>
      </c>
      <c r="P31" s="11">
        <f t="shared" si="2"/>
        <v>64713</v>
      </c>
      <c r="Q31" s="11">
        <f>+'คชจ.หน่วยงาน63'!K31</f>
        <v>4226531.97</v>
      </c>
      <c r="R31" s="11">
        <f>+'คชจ.หน่วยงาน63'!L31</f>
        <v>3677067.57</v>
      </c>
      <c r="S31" s="11">
        <f>+'คชจ.หน่วยงาน63'!M31</f>
        <v>0</v>
      </c>
      <c r="T31" s="11">
        <f>+'คชจ.หน่วยงาน63'!N31</f>
        <v>2861040.29</v>
      </c>
      <c r="U31" s="11">
        <f>+'คชจ.หน่วยงาน63'!O31</f>
        <v>2712223.23</v>
      </c>
      <c r="V31" s="11">
        <f>+'คชจ.หน่วยงาน63'!P31</f>
        <v>0</v>
      </c>
      <c r="W31" s="1">
        <f t="shared" si="3"/>
        <v>7087572.26</v>
      </c>
      <c r="X31" s="1">
        <f t="shared" si="4"/>
        <v>6389290.8</v>
      </c>
      <c r="Y31" s="1">
        <f t="shared" si="5"/>
        <v>0</v>
      </c>
      <c r="Z31" s="11">
        <f>+'คชจ.หน่วยงาน63'!T31</f>
        <v>0</v>
      </c>
      <c r="AA31" s="11">
        <f>+'คชจ.หน่วยงาน63'!U31</f>
        <v>50000</v>
      </c>
      <c r="AB31" s="11">
        <f>+'คชจ.หน่วยงาน63'!V31</f>
        <v>0</v>
      </c>
      <c r="AC31" s="1">
        <f t="shared" si="6"/>
        <v>0</v>
      </c>
      <c r="AD31" s="1">
        <f t="shared" si="7"/>
        <v>50000</v>
      </c>
      <c r="AE31" s="1">
        <f t="shared" si="8"/>
        <v>0</v>
      </c>
      <c r="AF31" s="1">
        <f t="shared" si="9"/>
        <v>17429065.23</v>
      </c>
      <c r="AG31" s="1">
        <f t="shared" si="10"/>
        <v>11429595.17</v>
      </c>
      <c r="AH31" s="1">
        <f t="shared" si="11"/>
        <v>64713</v>
      </c>
      <c r="AI31" s="1">
        <f t="shared" si="12"/>
        <v>28923373.4</v>
      </c>
    </row>
    <row r="32" spans="1:35" s="6" customFormat="1" ht="18.75">
      <c r="A32" s="1" t="s">
        <v>28</v>
      </c>
      <c r="B32" s="11">
        <f>+'คชจ.หน่วยงาน63'!B32</f>
        <v>2824861.36</v>
      </c>
      <c r="C32" s="11">
        <f>+'คชจ.หน่วยงาน63'!C32</f>
        <v>333657</v>
      </c>
      <c r="D32" s="11">
        <f>+'คชจ.หน่วยงาน63'!D32</f>
        <v>6600</v>
      </c>
      <c r="E32" s="11">
        <f>+'คชจ.หน่วยงาน63'!E32</f>
        <v>189633</v>
      </c>
      <c r="F32" s="11">
        <f>+'คชจ.หน่วยงาน63'!F32</f>
        <v>266954</v>
      </c>
      <c r="G32" s="11">
        <f>+'คชจ.หน่วยงาน63'!G32</f>
        <v>0</v>
      </c>
      <c r="H32" s="11">
        <f>+'คชจ.หน่วยงาน63'!H32</f>
        <v>281577.54</v>
      </c>
      <c r="I32" s="11">
        <f>+'คชจ.หน่วยงาน63'!I32</f>
        <v>0</v>
      </c>
      <c r="J32" s="11">
        <f>+'คชจ.หน่วยงาน63'!J32</f>
        <v>0</v>
      </c>
      <c r="K32" s="11">
        <f>+'คชจ.หน่วยงาน63'!Q32</f>
        <v>0</v>
      </c>
      <c r="L32" s="11">
        <f>+'คชจ.หน่วยงาน63'!R32</f>
        <v>0</v>
      </c>
      <c r="M32" s="11">
        <f>+'คชจ.หน่วยงาน63'!S32</f>
        <v>0</v>
      </c>
      <c r="N32" s="11">
        <f t="shared" si="0"/>
        <v>3296071.9</v>
      </c>
      <c r="O32" s="11">
        <f t="shared" si="1"/>
        <v>600611</v>
      </c>
      <c r="P32" s="11">
        <f t="shared" si="2"/>
        <v>6600</v>
      </c>
      <c r="Q32" s="11">
        <f>+'คชจ.หน่วยงาน63'!K32</f>
        <v>814597.96</v>
      </c>
      <c r="R32" s="11">
        <f>+'คชจ.หน่วยงาน63'!L32</f>
        <v>755242.24</v>
      </c>
      <c r="S32" s="11">
        <f>+'คชจ.หน่วยงาน63'!M32</f>
        <v>0</v>
      </c>
      <c r="T32" s="11">
        <f>+'คชจ.หน่วยงาน63'!N32</f>
        <v>62277.51</v>
      </c>
      <c r="U32" s="11">
        <f>+'คชจ.หน่วยงาน63'!O32</f>
        <v>224641.39</v>
      </c>
      <c r="V32" s="11">
        <f>+'คชจ.หน่วยงาน63'!P32</f>
        <v>0</v>
      </c>
      <c r="W32" s="1">
        <f t="shared" si="3"/>
        <v>876875.47</v>
      </c>
      <c r="X32" s="1">
        <f t="shared" si="4"/>
        <v>979883.63</v>
      </c>
      <c r="Y32" s="1">
        <f t="shared" si="5"/>
        <v>0</v>
      </c>
      <c r="Z32" s="11">
        <f>+'คชจ.หน่วยงาน63'!T32</f>
        <v>0</v>
      </c>
      <c r="AA32" s="11">
        <f>+'คชจ.หน่วยงาน63'!U32</f>
        <v>0</v>
      </c>
      <c r="AB32" s="11">
        <f>+'คชจ.หน่วยงาน63'!V32</f>
        <v>0</v>
      </c>
      <c r="AC32" s="1">
        <f t="shared" si="6"/>
        <v>0</v>
      </c>
      <c r="AD32" s="1">
        <f t="shared" si="7"/>
        <v>0</v>
      </c>
      <c r="AE32" s="1">
        <f t="shared" si="8"/>
        <v>0</v>
      </c>
      <c r="AF32" s="1">
        <f t="shared" si="9"/>
        <v>4172947.37</v>
      </c>
      <c r="AG32" s="1">
        <f t="shared" si="10"/>
        <v>1580494.63</v>
      </c>
      <c r="AH32" s="1">
        <f t="shared" si="11"/>
        <v>6600</v>
      </c>
      <c r="AI32" s="1">
        <f t="shared" si="12"/>
        <v>5760042</v>
      </c>
    </row>
    <row r="33" spans="1:35" s="6" customFormat="1" ht="19.5" thickBot="1">
      <c r="A33" s="8" t="s">
        <v>29</v>
      </c>
      <c r="B33" s="15">
        <f>+'คชจ.หน่วยงาน63'!B33</f>
        <v>4762956.76</v>
      </c>
      <c r="C33" s="15">
        <f>+'คชจ.หน่วยงาน63'!C33</f>
        <v>957463.33</v>
      </c>
      <c r="D33" s="15">
        <f>+'คชจ.หน่วยงาน63'!D33</f>
        <v>21500</v>
      </c>
      <c r="E33" s="15">
        <f>+'คชจ.หน่วยงาน63'!E33</f>
        <v>14060</v>
      </c>
      <c r="F33" s="15">
        <f>+'คชจ.หน่วยงาน63'!F33</f>
        <v>82150</v>
      </c>
      <c r="G33" s="15">
        <f>+'คชจ.หน่วยงาน63'!G33</f>
        <v>0</v>
      </c>
      <c r="H33" s="15">
        <f>+'คชจ.หน่วยงาน63'!H33</f>
        <v>2160</v>
      </c>
      <c r="I33" s="15">
        <f>+'คชจ.หน่วยงาน63'!I33</f>
        <v>4960</v>
      </c>
      <c r="J33" s="15">
        <f>+'คชจ.หน่วยงาน63'!J33</f>
        <v>0</v>
      </c>
      <c r="K33" s="15">
        <f>+'คชจ.หน่วยงาน63'!Q33</f>
        <v>0</v>
      </c>
      <c r="L33" s="15">
        <f>+'คชจ.หน่วยงาน63'!R33</f>
        <v>0</v>
      </c>
      <c r="M33" s="15">
        <f>+'คชจ.หน่วยงาน63'!S33</f>
        <v>0</v>
      </c>
      <c r="N33" s="15">
        <f t="shared" si="0"/>
        <v>4779176.76</v>
      </c>
      <c r="O33" s="15">
        <f t="shared" si="1"/>
        <v>1044573.33</v>
      </c>
      <c r="P33" s="15">
        <f t="shared" si="2"/>
        <v>21500</v>
      </c>
      <c r="Q33" s="15">
        <f>+'คชจ.หน่วยงาน63'!K33</f>
        <v>1310129.04</v>
      </c>
      <c r="R33" s="15">
        <f>+'คชจ.หน่วยงาน63'!L33</f>
        <v>2210279.96</v>
      </c>
      <c r="S33" s="15">
        <f>+'คชจ.หน่วยงาน63'!M33</f>
        <v>0</v>
      </c>
      <c r="T33" s="15">
        <f>+'คชจ.หน่วยงาน63'!N33</f>
        <v>992577.91</v>
      </c>
      <c r="U33" s="15">
        <f>+'คชจ.หน่วยงาน63'!O33</f>
        <v>107810.83</v>
      </c>
      <c r="V33" s="15">
        <f>+'คชจ.หน่วยงาน63'!P33</f>
        <v>0</v>
      </c>
      <c r="W33" s="8">
        <f t="shared" si="3"/>
        <v>2302706.95</v>
      </c>
      <c r="X33" s="8">
        <f t="shared" si="4"/>
        <v>2318090.79</v>
      </c>
      <c r="Y33" s="8">
        <f t="shared" si="5"/>
        <v>0</v>
      </c>
      <c r="Z33" s="15">
        <f>+'คชจ.หน่วยงาน63'!T33</f>
        <v>0</v>
      </c>
      <c r="AA33" s="15">
        <f>+'คชจ.หน่วยงาน63'!U33</f>
        <v>102000</v>
      </c>
      <c r="AB33" s="15">
        <f>+'คชจ.หน่วยงาน63'!V33</f>
        <v>0</v>
      </c>
      <c r="AC33" s="8">
        <f t="shared" si="6"/>
        <v>0</v>
      </c>
      <c r="AD33" s="8">
        <f t="shared" si="7"/>
        <v>102000</v>
      </c>
      <c r="AE33" s="8">
        <f t="shared" si="8"/>
        <v>0</v>
      </c>
      <c r="AF33" s="8">
        <f t="shared" si="9"/>
        <v>7081883.71</v>
      </c>
      <c r="AG33" s="8">
        <f t="shared" si="10"/>
        <v>3464664.12</v>
      </c>
      <c r="AH33" s="8">
        <f t="shared" si="11"/>
        <v>21500</v>
      </c>
      <c r="AI33" s="8">
        <f t="shared" si="12"/>
        <v>10568047.83</v>
      </c>
    </row>
    <row r="34" spans="1:35" s="56" customFormat="1" ht="19.5" thickBot="1">
      <c r="A34" s="119" t="s">
        <v>22</v>
      </c>
      <c r="B34" s="124">
        <f>+'คชจ.หน่วยงาน63'!B34</f>
        <v>302112623.92999995</v>
      </c>
      <c r="C34" s="124">
        <f>+'คชจ.หน่วยงาน63'!C34</f>
        <v>20908348.009999998</v>
      </c>
      <c r="D34" s="124">
        <f>+'คชจ.หน่วยงาน63'!D34</f>
        <v>92813</v>
      </c>
      <c r="E34" s="124">
        <f>+'คชจ.หน่วยงาน63'!E34</f>
        <v>385983.5</v>
      </c>
      <c r="F34" s="124">
        <f>+'คชจ.หน่วยงาน63'!F34</f>
        <v>749575</v>
      </c>
      <c r="G34" s="124">
        <f>+'คชจ.หน่วยงาน63'!G34</f>
        <v>0</v>
      </c>
      <c r="H34" s="124">
        <f>+'คชจ.หน่วยงาน63'!H34</f>
        <v>501525.26</v>
      </c>
      <c r="I34" s="124">
        <f>+'คชจ.หน่วยงาน63'!I34</f>
        <v>100252.4</v>
      </c>
      <c r="J34" s="124">
        <f>+'คชจ.หน่วยงาน63'!J34</f>
        <v>0</v>
      </c>
      <c r="K34" s="124">
        <f>+'คชจ.หน่วยงาน63'!Q34</f>
        <v>5566513.84</v>
      </c>
      <c r="L34" s="124">
        <f>+'คชจ.หน่วยงาน63'!R34</f>
        <v>28826534</v>
      </c>
      <c r="M34" s="124">
        <f>+'คชจ.หน่วยงาน63'!S34</f>
        <v>0</v>
      </c>
      <c r="N34" s="124">
        <f t="shared" si="0"/>
        <v>308566646.5299999</v>
      </c>
      <c r="O34" s="124">
        <f t="shared" si="1"/>
        <v>50584709.41</v>
      </c>
      <c r="P34" s="124">
        <f t="shared" si="2"/>
        <v>92813</v>
      </c>
      <c r="Q34" s="124">
        <f>+'คชจ.หน่วยงาน63'!K34</f>
        <v>59834691.91</v>
      </c>
      <c r="R34" s="124">
        <f>+'คชจ.หน่วยงาน63'!L34</f>
        <v>51577351.57</v>
      </c>
      <c r="S34" s="124">
        <f>+'คชจ.หน่วยงาน63'!M34</f>
        <v>0</v>
      </c>
      <c r="T34" s="124">
        <f>+'คชจ.หน่วยงาน63'!N34</f>
        <v>35555017.589999996</v>
      </c>
      <c r="U34" s="124">
        <f>+'คชจ.หน่วยงาน63'!O34</f>
        <v>16225682.43</v>
      </c>
      <c r="V34" s="124">
        <f>+'คชจ.หน่วยงาน63'!P34</f>
        <v>0</v>
      </c>
      <c r="W34" s="125">
        <f t="shared" si="3"/>
        <v>95389709.5</v>
      </c>
      <c r="X34" s="125">
        <f t="shared" si="4"/>
        <v>67803034</v>
      </c>
      <c r="Y34" s="125">
        <f t="shared" si="5"/>
        <v>0</v>
      </c>
      <c r="Z34" s="124">
        <f>+'คชจ.หน่วยงาน63'!T34</f>
        <v>7797549</v>
      </c>
      <c r="AA34" s="124">
        <f>+'คชจ.หน่วยงาน63'!U34</f>
        <v>23173577.040000003</v>
      </c>
      <c r="AB34" s="124">
        <f>+'คชจ.หน่วยงาน63'!V34</f>
        <v>0</v>
      </c>
      <c r="AC34" s="125">
        <f t="shared" si="6"/>
        <v>7797549</v>
      </c>
      <c r="AD34" s="125">
        <f t="shared" si="7"/>
        <v>23173577.040000003</v>
      </c>
      <c r="AE34" s="125">
        <f t="shared" si="8"/>
        <v>0</v>
      </c>
      <c r="AF34" s="125">
        <f t="shared" si="9"/>
        <v>411753905.0299999</v>
      </c>
      <c r="AG34" s="125">
        <f t="shared" si="10"/>
        <v>141561320.45</v>
      </c>
      <c r="AH34" s="125">
        <f t="shared" si="11"/>
        <v>92813</v>
      </c>
      <c r="AI34" s="125">
        <f t="shared" si="12"/>
        <v>553408038.4799999</v>
      </c>
    </row>
    <row r="35" spans="1:35" s="56" customFormat="1" ht="19.5" thickBot="1">
      <c r="A35" s="126" t="s">
        <v>4</v>
      </c>
      <c r="B35" s="127">
        <f>+'คชจ.หน่วยงาน63'!B35</f>
        <v>573090990.16</v>
      </c>
      <c r="C35" s="127">
        <f>+'คชจ.หน่วยงาน63'!C35</f>
        <v>63741320.029999994</v>
      </c>
      <c r="D35" s="127">
        <f>+'คชจ.หน่วยงาน63'!D35</f>
        <v>8984220.52</v>
      </c>
      <c r="E35" s="127">
        <f>+'คชจ.หน่วยงาน63'!E35</f>
        <v>698718.5</v>
      </c>
      <c r="F35" s="127">
        <f>+'คชจ.หน่วยงาน63'!F35</f>
        <v>2360823.71</v>
      </c>
      <c r="G35" s="127">
        <f>+'คชจ.หน่วยงาน63'!G35</f>
        <v>0</v>
      </c>
      <c r="H35" s="127">
        <f>+'คชจ.หน่วยงาน63'!H35</f>
        <v>1124137.8599999999</v>
      </c>
      <c r="I35" s="127">
        <f>+'คชจ.หน่วยงาน63'!I35</f>
        <v>651935.7200000001</v>
      </c>
      <c r="J35" s="127">
        <f>+'คชจ.หน่วยงาน63'!J35</f>
        <v>0</v>
      </c>
      <c r="K35" s="127">
        <f>+'คชจ.หน่วยงาน63'!Q35</f>
        <v>34131506.03</v>
      </c>
      <c r="L35" s="127">
        <f>+'คชจ.หน่วยงาน63'!R35</f>
        <v>50340114.28</v>
      </c>
      <c r="M35" s="127">
        <f>+'คชจ.หน่วยงาน63'!S35</f>
        <v>0</v>
      </c>
      <c r="N35" s="127">
        <f t="shared" si="0"/>
        <v>609045352.55</v>
      </c>
      <c r="O35" s="127">
        <f t="shared" si="1"/>
        <v>117094193.74</v>
      </c>
      <c r="P35" s="127">
        <f t="shared" si="2"/>
        <v>8984220.52</v>
      </c>
      <c r="Q35" s="127">
        <f>+'คชจ.หน่วยงาน63'!K35</f>
        <v>92632118.32999998</v>
      </c>
      <c r="R35" s="127">
        <f>+'คชจ.หน่วยงาน63'!L35</f>
        <v>95608093.03999999</v>
      </c>
      <c r="S35" s="127">
        <f>+'คชจ.หน่วยงาน63'!M35</f>
        <v>0</v>
      </c>
      <c r="T35" s="127">
        <f>+'คชจ.หน่วยงาน63'!N35</f>
        <v>197449436.18</v>
      </c>
      <c r="U35" s="127">
        <f>+'คชจ.หน่วยงาน63'!O35</f>
        <v>38355552.50999999</v>
      </c>
      <c r="V35" s="127">
        <f>+'คชจ.หน่วยงาน63'!P35</f>
        <v>0</v>
      </c>
      <c r="W35" s="128">
        <f t="shared" si="3"/>
        <v>290081554.51</v>
      </c>
      <c r="X35" s="128">
        <f t="shared" si="4"/>
        <v>133963645.54999998</v>
      </c>
      <c r="Y35" s="128">
        <f t="shared" si="5"/>
        <v>0</v>
      </c>
      <c r="Z35" s="127">
        <f>+'คชจ.หน่วยงาน63'!T35</f>
        <v>20496752</v>
      </c>
      <c r="AA35" s="127">
        <f>+'คชจ.หน่วยงาน63'!U35</f>
        <v>35749116.18000001</v>
      </c>
      <c r="AB35" s="127">
        <f>+'คชจ.หน่วยงาน63'!V35</f>
        <v>0</v>
      </c>
      <c r="AC35" s="128">
        <f t="shared" si="6"/>
        <v>20496752</v>
      </c>
      <c r="AD35" s="128">
        <f t="shared" si="7"/>
        <v>35749116.18000001</v>
      </c>
      <c r="AE35" s="128">
        <f t="shared" si="8"/>
        <v>0</v>
      </c>
      <c r="AF35" s="128">
        <f t="shared" si="9"/>
        <v>919623659.06</v>
      </c>
      <c r="AG35" s="128">
        <f t="shared" si="10"/>
        <v>286806955.46999997</v>
      </c>
      <c r="AH35" s="128">
        <f t="shared" si="11"/>
        <v>8984220.52</v>
      </c>
      <c r="AI35" s="128">
        <f t="shared" si="12"/>
        <v>1215414835.05</v>
      </c>
    </row>
    <row r="36" spans="1:35" s="5" customFormat="1" ht="19.5" thickTop="1">
      <c r="A36" s="57" t="s">
        <v>145</v>
      </c>
      <c r="B36" s="123">
        <f>+'คชจ.หน่วยงาน63'!B36</f>
        <v>0</v>
      </c>
      <c r="C36" s="123">
        <f>+'คชจ.หน่วยงาน63'!C36</f>
        <v>0</v>
      </c>
      <c r="D36" s="123">
        <f>+'คชจ.หน่วยงาน63'!D36</f>
        <v>0</v>
      </c>
      <c r="E36" s="123">
        <f>+'คชจ.หน่วยงาน63'!E36</f>
        <v>0</v>
      </c>
      <c r="F36" s="123">
        <f>+'คชจ.หน่วยงาน63'!F36</f>
        <v>0</v>
      </c>
      <c r="G36" s="123">
        <f>+'คชจ.หน่วยงาน63'!G36</f>
        <v>0</v>
      </c>
      <c r="H36" s="123">
        <f>+'คชจ.หน่วยงาน63'!H36</f>
        <v>0</v>
      </c>
      <c r="I36" s="123">
        <f>+'คชจ.หน่วยงาน63'!I36</f>
        <v>0</v>
      </c>
      <c r="J36" s="123">
        <f>+'คชจ.หน่วยงาน63'!J36</f>
        <v>0</v>
      </c>
      <c r="K36" s="123">
        <f>+'คชจ.หน่วยงาน63'!Q36</f>
        <v>0</v>
      </c>
      <c r="L36" s="123">
        <f>+'คชจ.หน่วยงาน63'!R36</f>
        <v>0</v>
      </c>
      <c r="M36" s="123">
        <f>+'คชจ.หน่วยงาน63'!S36</f>
        <v>0</v>
      </c>
      <c r="N36" s="123"/>
      <c r="O36" s="123"/>
      <c r="P36" s="123"/>
      <c r="Q36" s="123">
        <f>+'คชจ.หน่วยงาน63'!K36</f>
        <v>0</v>
      </c>
      <c r="R36" s="123">
        <f>+'คชจ.หน่วยงาน63'!L36</f>
        <v>0</v>
      </c>
      <c r="S36" s="123">
        <f>+'คชจ.หน่วยงาน63'!M36</f>
        <v>0</v>
      </c>
      <c r="T36" s="123">
        <f>+'คชจ.หน่วยงาน63'!N36</f>
        <v>0</v>
      </c>
      <c r="U36" s="123">
        <f>+'คชจ.หน่วยงาน63'!O36</f>
        <v>0</v>
      </c>
      <c r="V36" s="123">
        <f>+'คชจ.หน่วยงาน63'!P36</f>
        <v>0</v>
      </c>
      <c r="W36" s="10">
        <f t="shared" si="3"/>
        <v>0</v>
      </c>
      <c r="X36" s="10">
        <f t="shared" si="4"/>
        <v>0</v>
      </c>
      <c r="Y36" s="10">
        <f t="shared" si="5"/>
        <v>0</v>
      </c>
      <c r="Z36" s="123">
        <f>+'คชจ.หน่วยงาน63'!T36</f>
        <v>0</v>
      </c>
      <c r="AA36" s="123">
        <f>+'คชจ.หน่วยงาน63'!U36</f>
        <v>0</v>
      </c>
      <c r="AB36" s="123">
        <f>+'คชจ.หน่วยงาน63'!V36</f>
        <v>0</v>
      </c>
      <c r="AC36" s="10">
        <f t="shared" si="6"/>
        <v>0</v>
      </c>
      <c r="AD36" s="10">
        <f t="shared" si="7"/>
        <v>0</v>
      </c>
      <c r="AE36" s="10">
        <f t="shared" si="8"/>
        <v>0</v>
      </c>
      <c r="AF36" s="10">
        <f t="shared" si="9"/>
        <v>0</v>
      </c>
      <c r="AG36" s="10">
        <f t="shared" si="10"/>
        <v>0</v>
      </c>
      <c r="AH36" s="10">
        <f t="shared" si="11"/>
        <v>0</v>
      </c>
      <c r="AI36" s="10">
        <f t="shared" si="12"/>
        <v>0</v>
      </c>
    </row>
    <row r="37" spans="1:35" s="5" customFormat="1" ht="18.75">
      <c r="A37" s="1" t="s">
        <v>293</v>
      </c>
      <c r="B37" s="11">
        <f>+'คชจ.หน่วยงาน63'!B37</f>
        <v>0</v>
      </c>
      <c r="C37" s="11">
        <f>+'คชจ.หน่วยงาน63'!C37</f>
        <v>0</v>
      </c>
      <c r="D37" s="11">
        <f>+'คชจ.หน่วยงาน63'!D37</f>
        <v>0</v>
      </c>
      <c r="E37" s="11">
        <f>+'คชจ.หน่วยงาน63'!E37</f>
        <v>0</v>
      </c>
      <c r="F37" s="11">
        <f>+'คชจ.หน่วยงาน63'!F37</f>
        <v>0</v>
      </c>
      <c r="G37" s="11">
        <f>+'คชจ.หน่วยงาน63'!G37</f>
        <v>0</v>
      </c>
      <c r="H37" s="11">
        <f>+'คชจ.หน่วยงาน63'!H37</f>
        <v>0</v>
      </c>
      <c r="I37" s="11">
        <f>+'คชจ.หน่วยงาน63'!I37</f>
        <v>0</v>
      </c>
      <c r="J37" s="11">
        <f>+'คชจ.หน่วยงาน63'!J37</f>
        <v>0</v>
      </c>
      <c r="K37" s="11">
        <f>+'คชจ.หน่วยงาน63'!Q37</f>
        <v>0</v>
      </c>
      <c r="L37" s="11">
        <f>+'คชจ.หน่วยงาน63'!R37</f>
        <v>0</v>
      </c>
      <c r="M37" s="11">
        <f>+'คชจ.หน่วยงาน63'!S37</f>
        <v>0</v>
      </c>
      <c r="N37" s="11">
        <f t="shared" si="0"/>
        <v>0</v>
      </c>
      <c r="O37" s="11">
        <f t="shared" si="1"/>
        <v>0</v>
      </c>
      <c r="P37" s="11">
        <f t="shared" si="2"/>
        <v>0</v>
      </c>
      <c r="Q37" s="11">
        <f>+'คชจ.หน่วยงาน63'!K37</f>
        <v>0</v>
      </c>
      <c r="R37" s="11">
        <f>+'คชจ.หน่วยงาน63'!L37</f>
        <v>83800</v>
      </c>
      <c r="S37" s="11">
        <f>+'คชจ.หน่วยงาน63'!M37</f>
        <v>0</v>
      </c>
      <c r="T37" s="11">
        <f>+'คชจ.หน่วยงาน63'!N37</f>
        <v>0</v>
      </c>
      <c r="U37" s="11">
        <f>+'คชจ.หน่วยงาน63'!O37</f>
        <v>0</v>
      </c>
      <c r="V37" s="11">
        <f>+'คชจ.หน่วยงาน63'!P37</f>
        <v>0</v>
      </c>
      <c r="W37" s="1">
        <f t="shared" si="3"/>
        <v>0</v>
      </c>
      <c r="X37" s="1">
        <f t="shared" si="4"/>
        <v>83800</v>
      </c>
      <c r="Y37" s="1">
        <f t="shared" si="5"/>
        <v>0</v>
      </c>
      <c r="Z37" s="11">
        <f>+'คชจ.หน่วยงาน63'!T37</f>
        <v>0</v>
      </c>
      <c r="AA37" s="11">
        <f>+'คชจ.หน่วยงาน63'!U37</f>
        <v>0</v>
      </c>
      <c r="AB37" s="11">
        <f>+'คชจ.หน่วยงาน63'!V37</f>
        <v>0</v>
      </c>
      <c r="AC37" s="1">
        <f t="shared" si="6"/>
        <v>0</v>
      </c>
      <c r="AD37" s="1">
        <f t="shared" si="7"/>
        <v>0</v>
      </c>
      <c r="AE37" s="1">
        <f t="shared" si="8"/>
        <v>0</v>
      </c>
      <c r="AF37" s="1">
        <f t="shared" si="9"/>
        <v>0</v>
      </c>
      <c r="AG37" s="1">
        <f t="shared" si="10"/>
        <v>83800</v>
      </c>
      <c r="AH37" s="1">
        <f t="shared" si="11"/>
        <v>0</v>
      </c>
      <c r="AI37" s="1">
        <f t="shared" si="12"/>
        <v>83800</v>
      </c>
    </row>
    <row r="38" spans="1:35" s="5" customFormat="1" ht="18.75">
      <c r="A38" s="13" t="s">
        <v>294</v>
      </c>
      <c r="B38" s="11">
        <f>+'คชจ.หน่วยงาน63'!B38</f>
        <v>0</v>
      </c>
      <c r="C38" s="11">
        <f>+'คชจ.หน่วยงาน63'!C38</f>
        <v>0</v>
      </c>
      <c r="D38" s="11">
        <f>+'คชจ.หน่วยงาน63'!D38</f>
        <v>0</v>
      </c>
      <c r="E38" s="11">
        <f>+'คชจ.หน่วยงาน63'!E38</f>
        <v>0</v>
      </c>
      <c r="F38" s="11">
        <f>+'คชจ.หน่วยงาน63'!F38</f>
        <v>0</v>
      </c>
      <c r="G38" s="11">
        <f>+'คชจ.หน่วยงาน63'!G38</f>
        <v>0</v>
      </c>
      <c r="H38" s="11">
        <f>+'คชจ.หน่วยงาน63'!H38</f>
        <v>0</v>
      </c>
      <c r="I38" s="11">
        <f>+'คชจ.หน่วยงาน63'!I38</f>
        <v>0</v>
      </c>
      <c r="J38" s="11">
        <f>+'คชจ.หน่วยงาน63'!J38</f>
        <v>0</v>
      </c>
      <c r="K38" s="11">
        <f>+'คชจ.หน่วยงาน63'!Q38</f>
        <v>0</v>
      </c>
      <c r="L38" s="11">
        <f>+'คชจ.หน่วยงาน63'!R38</f>
        <v>0</v>
      </c>
      <c r="M38" s="11">
        <f>+'คชจ.หน่วยงาน63'!S38</f>
        <v>0</v>
      </c>
      <c r="N38" s="11">
        <f t="shared" si="0"/>
        <v>0</v>
      </c>
      <c r="O38" s="11">
        <f t="shared" si="1"/>
        <v>0</v>
      </c>
      <c r="P38" s="11">
        <f t="shared" si="2"/>
        <v>0</v>
      </c>
      <c r="Q38" s="11">
        <f>+'คชจ.หน่วยงาน63'!K38</f>
        <v>0</v>
      </c>
      <c r="R38" s="11">
        <f>+'คชจ.หน่วยงาน63'!L38</f>
        <v>2106986.59</v>
      </c>
      <c r="S38" s="11">
        <f>+'คชจ.หน่วยงาน63'!M38</f>
        <v>0</v>
      </c>
      <c r="T38" s="11">
        <f>+'คชจ.หน่วยงาน63'!N38</f>
        <v>0</v>
      </c>
      <c r="U38" s="11">
        <f>+'คชจ.หน่วยงาน63'!O38</f>
        <v>0</v>
      </c>
      <c r="V38" s="11">
        <f>+'คชจ.หน่วยงาน63'!P38</f>
        <v>0</v>
      </c>
      <c r="W38" s="1">
        <f t="shared" si="3"/>
        <v>0</v>
      </c>
      <c r="X38" s="1">
        <f t="shared" si="4"/>
        <v>2106986.59</v>
      </c>
      <c r="Y38" s="1">
        <f t="shared" si="5"/>
        <v>0</v>
      </c>
      <c r="Z38" s="11">
        <f>+'คชจ.หน่วยงาน63'!T38</f>
        <v>0</v>
      </c>
      <c r="AA38" s="11">
        <f>+'คชจ.หน่วยงาน63'!U38</f>
        <v>0</v>
      </c>
      <c r="AB38" s="11">
        <f>+'คชจ.หน่วยงาน63'!V38</f>
        <v>0</v>
      </c>
      <c r="AC38" s="1">
        <f t="shared" si="6"/>
        <v>0</v>
      </c>
      <c r="AD38" s="1">
        <f t="shared" si="7"/>
        <v>0</v>
      </c>
      <c r="AE38" s="1">
        <f t="shared" si="8"/>
        <v>0</v>
      </c>
      <c r="AF38" s="1">
        <f t="shared" si="9"/>
        <v>0</v>
      </c>
      <c r="AG38" s="1">
        <f t="shared" si="10"/>
        <v>2106986.59</v>
      </c>
      <c r="AH38" s="1">
        <f t="shared" si="11"/>
        <v>0</v>
      </c>
      <c r="AI38" s="1">
        <f t="shared" si="12"/>
        <v>2106986.59</v>
      </c>
    </row>
    <row r="39" spans="1:35" s="5" customFormat="1" ht="18.75">
      <c r="A39" s="13" t="s">
        <v>295</v>
      </c>
      <c r="B39" s="11">
        <f>+'คชจ.หน่วยงาน63'!B39</f>
        <v>0</v>
      </c>
      <c r="C39" s="11">
        <f>+'คชจ.หน่วยงาน63'!C39</f>
        <v>1882426.63</v>
      </c>
      <c r="D39" s="11">
        <f>+'คชจ.หน่วยงาน63'!D39</f>
        <v>0</v>
      </c>
      <c r="E39" s="11">
        <f>+'คชจ.หน่วยงาน63'!E39</f>
        <v>0</v>
      </c>
      <c r="F39" s="11">
        <f>+'คชจ.หน่วยงาน63'!F39</f>
        <v>0</v>
      </c>
      <c r="G39" s="11">
        <f>+'คชจ.หน่วยงาน63'!G39</f>
        <v>0</v>
      </c>
      <c r="H39" s="11">
        <f>+'คชจ.หน่วยงาน63'!H39</f>
        <v>0</v>
      </c>
      <c r="I39" s="11">
        <f>+'คชจ.หน่วยงาน63'!I39</f>
        <v>0</v>
      </c>
      <c r="J39" s="11">
        <f>+'คชจ.หน่วยงาน63'!J39</f>
        <v>0</v>
      </c>
      <c r="K39" s="11">
        <f>+'คชจ.หน่วยงาน63'!Q39</f>
        <v>0</v>
      </c>
      <c r="L39" s="11">
        <f>+'คชจ.หน่วยงาน63'!R39</f>
        <v>0</v>
      </c>
      <c r="M39" s="11">
        <f>+'คชจ.หน่วยงาน63'!S39</f>
        <v>0</v>
      </c>
      <c r="N39" s="11">
        <f t="shared" si="0"/>
        <v>0</v>
      </c>
      <c r="O39" s="11">
        <f t="shared" si="1"/>
        <v>1882426.63</v>
      </c>
      <c r="P39" s="11">
        <f t="shared" si="2"/>
        <v>0</v>
      </c>
      <c r="Q39" s="11">
        <f>+'คชจ.หน่วยงาน63'!K39</f>
        <v>0</v>
      </c>
      <c r="R39" s="11">
        <f>+'คชจ.หน่วยงาน63'!L39</f>
        <v>8055969.82</v>
      </c>
      <c r="S39" s="11">
        <f>+'คชจ.หน่วยงาน63'!M39</f>
        <v>0</v>
      </c>
      <c r="T39" s="11">
        <f>+'คชจ.หน่วยงาน63'!N39</f>
        <v>0</v>
      </c>
      <c r="U39" s="11">
        <f>+'คชจ.หน่วยงาน63'!O39</f>
        <v>0</v>
      </c>
      <c r="V39" s="11">
        <f>+'คชจ.หน่วยงาน63'!P39</f>
        <v>0</v>
      </c>
      <c r="W39" s="1">
        <f t="shared" si="3"/>
        <v>0</v>
      </c>
      <c r="X39" s="1">
        <f t="shared" si="4"/>
        <v>8055969.82</v>
      </c>
      <c r="Y39" s="1">
        <f t="shared" si="5"/>
        <v>0</v>
      </c>
      <c r="Z39" s="11">
        <f>+'คชจ.หน่วยงาน63'!T39</f>
        <v>0</v>
      </c>
      <c r="AA39" s="11">
        <f>+'คชจ.หน่วยงาน63'!U39</f>
        <v>308580</v>
      </c>
      <c r="AB39" s="11">
        <f>+'คชจ.หน่วยงาน63'!V39</f>
        <v>0</v>
      </c>
      <c r="AC39" s="1">
        <f t="shared" si="6"/>
        <v>0</v>
      </c>
      <c r="AD39" s="1">
        <f t="shared" si="7"/>
        <v>308580</v>
      </c>
      <c r="AE39" s="1">
        <f t="shared" si="8"/>
        <v>0</v>
      </c>
      <c r="AF39" s="1">
        <f t="shared" si="9"/>
        <v>0</v>
      </c>
      <c r="AG39" s="1">
        <f t="shared" si="10"/>
        <v>10246976.45</v>
      </c>
      <c r="AH39" s="1">
        <f t="shared" si="11"/>
        <v>0</v>
      </c>
      <c r="AI39" s="1">
        <f t="shared" si="12"/>
        <v>10246976.45</v>
      </c>
    </row>
    <row r="40" spans="1:35" s="5" customFormat="1" ht="18.75">
      <c r="A40" s="13" t="s">
        <v>296</v>
      </c>
      <c r="B40" s="11">
        <f>+'คชจ.หน่วยงาน63'!B40</f>
        <v>0</v>
      </c>
      <c r="C40" s="11">
        <f>+'คชจ.หน่วยงาน63'!C40</f>
        <v>406449.4</v>
      </c>
      <c r="D40" s="11">
        <f>+'คชจ.หน่วยงาน63'!D40</f>
        <v>0</v>
      </c>
      <c r="E40" s="11">
        <f>+'คชจ.หน่วยงาน63'!E40</f>
        <v>0</v>
      </c>
      <c r="F40" s="11">
        <f>+'คชจ.หน่วยงาน63'!F40</f>
        <v>25000</v>
      </c>
      <c r="G40" s="11">
        <f>+'คชจ.หน่วยงาน63'!G40</f>
        <v>0</v>
      </c>
      <c r="H40" s="11">
        <f>+'คชจ.หน่วยงาน63'!H40</f>
        <v>0</v>
      </c>
      <c r="I40" s="11">
        <f>+'คชจ.หน่วยงาน63'!I40</f>
        <v>0</v>
      </c>
      <c r="J40" s="11">
        <f>+'คชจ.หน่วยงาน63'!J40</f>
        <v>0</v>
      </c>
      <c r="K40" s="11">
        <f>+'คชจ.หน่วยงาน63'!Q40</f>
        <v>0</v>
      </c>
      <c r="L40" s="11">
        <f>+'คชจ.หน่วยงาน63'!R40</f>
        <v>0</v>
      </c>
      <c r="M40" s="11">
        <f>+'คชจ.หน่วยงาน63'!S40</f>
        <v>0</v>
      </c>
      <c r="N40" s="11">
        <f t="shared" si="0"/>
        <v>0</v>
      </c>
      <c r="O40" s="11">
        <f t="shared" si="1"/>
        <v>431449.4</v>
      </c>
      <c r="P40" s="11">
        <f t="shared" si="2"/>
        <v>0</v>
      </c>
      <c r="Q40" s="11">
        <f>+'คชจ.หน่วยงาน63'!K40</f>
        <v>0</v>
      </c>
      <c r="R40" s="11">
        <f>+'คชจ.หน่วยงาน63'!L40</f>
        <v>216868.48</v>
      </c>
      <c r="S40" s="11">
        <f>+'คชจ.หน่วยงาน63'!M40</f>
        <v>0</v>
      </c>
      <c r="T40" s="11">
        <f>+'คชจ.หน่วยงาน63'!N40</f>
        <v>0</v>
      </c>
      <c r="U40" s="11">
        <f>+'คชจ.หน่วยงาน63'!O40</f>
        <v>0</v>
      </c>
      <c r="V40" s="11">
        <f>+'คชจ.หน่วยงาน63'!P40</f>
        <v>0</v>
      </c>
      <c r="W40" s="1">
        <f t="shared" si="3"/>
        <v>0</v>
      </c>
      <c r="X40" s="1">
        <f t="shared" si="4"/>
        <v>216868.48</v>
      </c>
      <c r="Y40" s="1">
        <f t="shared" si="5"/>
        <v>0</v>
      </c>
      <c r="Z40" s="11">
        <f>+'คชจ.หน่วยงาน63'!T40</f>
        <v>0</v>
      </c>
      <c r="AA40" s="11">
        <f>+'คชจ.หน่วยงาน63'!U40</f>
        <v>114000</v>
      </c>
      <c r="AB40" s="11">
        <f>+'คชจ.หน่วยงาน63'!V40</f>
        <v>0</v>
      </c>
      <c r="AC40" s="1">
        <f t="shared" si="6"/>
        <v>0</v>
      </c>
      <c r="AD40" s="1">
        <f t="shared" si="7"/>
        <v>114000</v>
      </c>
      <c r="AE40" s="1">
        <f t="shared" si="8"/>
        <v>0</v>
      </c>
      <c r="AF40" s="1">
        <f t="shared" si="9"/>
        <v>0</v>
      </c>
      <c r="AG40" s="1">
        <f t="shared" si="10"/>
        <v>762317.88</v>
      </c>
      <c r="AH40" s="1">
        <f t="shared" si="11"/>
        <v>0</v>
      </c>
      <c r="AI40" s="1">
        <f t="shared" si="12"/>
        <v>762317.88</v>
      </c>
    </row>
    <row r="41" spans="1:35" s="5" customFormat="1" ht="18.75">
      <c r="A41" s="13" t="s">
        <v>297</v>
      </c>
      <c r="B41" s="11">
        <f>+'คชจ.หน่วยงาน63'!B41</f>
        <v>0</v>
      </c>
      <c r="C41" s="11">
        <f>+'คชจ.หน่วยงาน63'!C41</f>
        <v>4026305.52</v>
      </c>
      <c r="D41" s="11">
        <f>+'คชจ.หน่วยงาน63'!D41</f>
        <v>0</v>
      </c>
      <c r="E41" s="11">
        <f>+'คชจ.หน่วยงาน63'!E41</f>
        <v>0</v>
      </c>
      <c r="F41" s="11">
        <f>+'คชจ.หน่วยงาน63'!F41</f>
        <v>0</v>
      </c>
      <c r="G41" s="11">
        <f>+'คชจ.หน่วยงาน63'!G41</f>
        <v>0</v>
      </c>
      <c r="H41" s="11">
        <f>+'คชจ.หน่วยงาน63'!H41</f>
        <v>0</v>
      </c>
      <c r="I41" s="11">
        <f>+'คชจ.หน่วยงาน63'!I41</f>
        <v>26880</v>
      </c>
      <c r="J41" s="11">
        <f>+'คชจ.หน่วยงาน63'!J41</f>
        <v>0</v>
      </c>
      <c r="K41" s="11">
        <f>+'คชจ.หน่วยงาน63'!Q41</f>
        <v>0</v>
      </c>
      <c r="L41" s="11">
        <f>+'คชจ.หน่วยงาน63'!R41</f>
        <v>0</v>
      </c>
      <c r="M41" s="11">
        <f>+'คชจ.หน่วยงาน63'!S41</f>
        <v>0</v>
      </c>
      <c r="N41" s="11">
        <f t="shared" si="0"/>
        <v>0</v>
      </c>
      <c r="O41" s="11">
        <f t="shared" si="1"/>
        <v>4053185.52</v>
      </c>
      <c r="P41" s="11">
        <f t="shared" si="2"/>
        <v>0</v>
      </c>
      <c r="Q41" s="11">
        <f>+'คชจ.หน่วยงาน63'!K41</f>
        <v>0</v>
      </c>
      <c r="R41" s="11">
        <f>+'คชจ.หน่วยงาน63'!L41</f>
        <v>1892170.26</v>
      </c>
      <c r="S41" s="11">
        <f>+'คชจ.หน่วยงาน63'!M41</f>
        <v>0</v>
      </c>
      <c r="T41" s="11">
        <f>+'คชจ.หน่วยงาน63'!N41</f>
        <v>0</v>
      </c>
      <c r="U41" s="11">
        <f>+'คชจ.หน่วยงาน63'!O41</f>
        <v>0</v>
      </c>
      <c r="V41" s="11">
        <f>+'คชจ.หน่วยงาน63'!P41</f>
        <v>0</v>
      </c>
      <c r="W41" s="1">
        <f t="shared" si="3"/>
        <v>0</v>
      </c>
      <c r="X41" s="1">
        <f t="shared" si="4"/>
        <v>1892170.26</v>
      </c>
      <c r="Y41" s="1">
        <f t="shared" si="5"/>
        <v>0</v>
      </c>
      <c r="Z41" s="11">
        <f>+'คชจ.หน่วยงาน63'!T41</f>
        <v>0</v>
      </c>
      <c r="AA41" s="11">
        <f>+'คชจ.หน่วยงาน63'!U41</f>
        <v>99400</v>
      </c>
      <c r="AB41" s="11">
        <f>+'คชจ.หน่วยงาน63'!V41</f>
        <v>0</v>
      </c>
      <c r="AC41" s="1">
        <f t="shared" si="6"/>
        <v>0</v>
      </c>
      <c r="AD41" s="1">
        <f t="shared" si="7"/>
        <v>99400</v>
      </c>
      <c r="AE41" s="1">
        <f t="shared" si="8"/>
        <v>0</v>
      </c>
      <c r="AF41" s="1">
        <f t="shared" si="9"/>
        <v>0</v>
      </c>
      <c r="AG41" s="1">
        <f t="shared" si="10"/>
        <v>6044755.78</v>
      </c>
      <c r="AH41" s="1">
        <f t="shared" si="11"/>
        <v>0</v>
      </c>
      <c r="AI41" s="1">
        <f t="shared" si="12"/>
        <v>6044755.78</v>
      </c>
    </row>
    <row r="42" spans="1:35" s="5" customFormat="1" ht="18.75">
      <c r="A42" s="13" t="s">
        <v>298</v>
      </c>
      <c r="B42" s="11">
        <f>+'คชจ.หน่วยงาน63'!B42</f>
        <v>0</v>
      </c>
      <c r="C42" s="11">
        <f>+'คชจ.หน่วยงาน63'!C42</f>
        <v>0</v>
      </c>
      <c r="D42" s="11">
        <f>+'คชจ.หน่วยงาน63'!D42</f>
        <v>0</v>
      </c>
      <c r="E42" s="11">
        <f>+'คชจ.หน่วยงาน63'!E42</f>
        <v>0</v>
      </c>
      <c r="F42" s="11">
        <f>+'คชจ.หน่วยงาน63'!F42</f>
        <v>0</v>
      </c>
      <c r="G42" s="11">
        <f>+'คชจ.หน่วยงาน63'!G42</f>
        <v>0</v>
      </c>
      <c r="H42" s="11">
        <f>+'คชจ.หน่วยงาน63'!H42</f>
        <v>0</v>
      </c>
      <c r="I42" s="11">
        <f>+'คชจ.หน่วยงาน63'!I42</f>
        <v>6012</v>
      </c>
      <c r="J42" s="11">
        <f>+'คชจ.หน่วยงาน63'!J42</f>
        <v>0</v>
      </c>
      <c r="K42" s="11">
        <f>+'คชจ.หน่วยงาน63'!Q42</f>
        <v>0</v>
      </c>
      <c r="L42" s="11">
        <f>+'คชจ.หน่วยงาน63'!R42</f>
        <v>0</v>
      </c>
      <c r="M42" s="11">
        <f>+'คชจ.หน่วยงาน63'!S42</f>
        <v>0</v>
      </c>
      <c r="N42" s="11">
        <f t="shared" si="0"/>
        <v>0</v>
      </c>
      <c r="O42" s="11">
        <f t="shared" si="1"/>
        <v>6012</v>
      </c>
      <c r="P42" s="11">
        <f t="shared" si="2"/>
        <v>0</v>
      </c>
      <c r="Q42" s="11">
        <f>+'คชจ.หน่วยงาน63'!K42</f>
        <v>0</v>
      </c>
      <c r="R42" s="11">
        <f>+'คชจ.หน่วยงาน63'!L42</f>
        <v>264701</v>
      </c>
      <c r="S42" s="11">
        <f>+'คชจ.หน่วยงาน63'!M42</f>
        <v>0</v>
      </c>
      <c r="T42" s="11">
        <f>+'คชจ.หน่วยงาน63'!N42</f>
        <v>0</v>
      </c>
      <c r="U42" s="11">
        <f>+'คชจ.หน่วยงาน63'!O42</f>
        <v>0</v>
      </c>
      <c r="V42" s="11">
        <f>+'คชจ.หน่วยงาน63'!P42</f>
        <v>0</v>
      </c>
      <c r="W42" s="1">
        <f t="shared" si="3"/>
        <v>0</v>
      </c>
      <c r="X42" s="1">
        <f t="shared" si="4"/>
        <v>264701</v>
      </c>
      <c r="Y42" s="1">
        <f t="shared" si="5"/>
        <v>0</v>
      </c>
      <c r="Z42" s="11">
        <f>+'คชจ.หน่วยงาน63'!T42</f>
        <v>0</v>
      </c>
      <c r="AA42" s="11">
        <f>+'คชจ.หน่วยงาน63'!U42</f>
        <v>24000</v>
      </c>
      <c r="AB42" s="11">
        <f>+'คชจ.หน่วยงาน63'!V42</f>
        <v>0</v>
      </c>
      <c r="AC42" s="1">
        <f t="shared" si="6"/>
        <v>0</v>
      </c>
      <c r="AD42" s="1">
        <f t="shared" si="7"/>
        <v>24000</v>
      </c>
      <c r="AE42" s="1">
        <f t="shared" si="8"/>
        <v>0</v>
      </c>
      <c r="AF42" s="1">
        <f t="shared" si="9"/>
        <v>0</v>
      </c>
      <c r="AG42" s="1">
        <f t="shared" si="10"/>
        <v>294713</v>
      </c>
      <c r="AH42" s="1">
        <f t="shared" si="11"/>
        <v>0</v>
      </c>
      <c r="AI42" s="1">
        <f t="shared" si="12"/>
        <v>294713</v>
      </c>
    </row>
    <row r="43" spans="1:35" s="5" customFormat="1" ht="18.75">
      <c r="A43" s="13" t="s">
        <v>299</v>
      </c>
      <c r="B43" s="11">
        <f>+'คชจ.หน่วยงาน63'!B43</f>
        <v>0</v>
      </c>
      <c r="C43" s="11">
        <f>+'คชจ.หน่วยงาน63'!C43</f>
        <v>559591.77</v>
      </c>
      <c r="D43" s="11">
        <f>+'คชจ.หน่วยงาน63'!D43</f>
        <v>0</v>
      </c>
      <c r="E43" s="11">
        <f>+'คชจ.หน่วยงาน63'!E43</f>
        <v>0</v>
      </c>
      <c r="F43" s="11">
        <f>+'คชจ.หน่วยงาน63'!F43</f>
        <v>0</v>
      </c>
      <c r="G43" s="11">
        <f>+'คชจ.หน่วยงาน63'!G43</f>
        <v>0</v>
      </c>
      <c r="H43" s="11">
        <f>+'คชจ.หน่วยงาน63'!H43</f>
        <v>0</v>
      </c>
      <c r="I43" s="11">
        <f>+'คชจ.หน่วยงาน63'!I43</f>
        <v>0</v>
      </c>
      <c r="J43" s="11">
        <f>+'คชจ.หน่วยงาน63'!J43</f>
        <v>0</v>
      </c>
      <c r="K43" s="11">
        <f>+'คชจ.หน่วยงาน63'!Q43</f>
        <v>0</v>
      </c>
      <c r="L43" s="11">
        <f>+'คชจ.หน่วยงาน63'!R43</f>
        <v>0</v>
      </c>
      <c r="M43" s="11">
        <f>+'คชจ.หน่วยงาน63'!S43</f>
        <v>0</v>
      </c>
      <c r="N43" s="11">
        <f t="shared" si="0"/>
        <v>0</v>
      </c>
      <c r="O43" s="11">
        <f t="shared" si="1"/>
        <v>559591.77</v>
      </c>
      <c r="P43" s="11">
        <f t="shared" si="2"/>
        <v>0</v>
      </c>
      <c r="Q43" s="11">
        <f>+'คชจ.หน่วยงาน63'!K43</f>
        <v>0</v>
      </c>
      <c r="R43" s="11">
        <f>+'คชจ.หน่วยงาน63'!L43</f>
        <v>1931932</v>
      </c>
      <c r="S43" s="11">
        <f>+'คชจ.หน่วยงาน63'!M43</f>
        <v>0</v>
      </c>
      <c r="T43" s="11">
        <f>+'คชจ.หน่วยงาน63'!N43</f>
        <v>0</v>
      </c>
      <c r="U43" s="11">
        <f>+'คชจ.หน่วยงาน63'!O43</f>
        <v>0</v>
      </c>
      <c r="V43" s="11">
        <f>+'คชจ.หน่วยงาน63'!P43</f>
        <v>0</v>
      </c>
      <c r="W43" s="1">
        <f t="shared" si="3"/>
        <v>0</v>
      </c>
      <c r="X43" s="1">
        <f t="shared" si="4"/>
        <v>1931932</v>
      </c>
      <c r="Y43" s="1">
        <f t="shared" si="5"/>
        <v>0</v>
      </c>
      <c r="Z43" s="11">
        <f>+'คชจ.หน่วยงาน63'!T43</f>
        <v>0</v>
      </c>
      <c r="AA43" s="11">
        <f>+'คชจ.หน่วยงาน63'!U43</f>
        <v>180000</v>
      </c>
      <c r="AB43" s="11">
        <f>+'คชจ.หน่วยงาน63'!V43</f>
        <v>0</v>
      </c>
      <c r="AC43" s="1">
        <f t="shared" si="6"/>
        <v>0</v>
      </c>
      <c r="AD43" s="1">
        <f t="shared" si="7"/>
        <v>180000</v>
      </c>
      <c r="AE43" s="1">
        <f t="shared" si="8"/>
        <v>0</v>
      </c>
      <c r="AF43" s="1">
        <f t="shared" si="9"/>
        <v>0</v>
      </c>
      <c r="AG43" s="1">
        <f t="shared" si="10"/>
        <v>2671523.77</v>
      </c>
      <c r="AH43" s="1">
        <f t="shared" si="11"/>
        <v>0</v>
      </c>
      <c r="AI43" s="1">
        <f t="shared" si="12"/>
        <v>2671523.77</v>
      </c>
    </row>
    <row r="44" spans="1:35" s="5" customFormat="1" ht="18.75">
      <c r="A44" s="13" t="s">
        <v>300</v>
      </c>
      <c r="B44" s="11">
        <f>+'คชจ.หน่วยงาน63'!B44</f>
        <v>0</v>
      </c>
      <c r="C44" s="11">
        <f>+'คชจ.หน่วยงาน63'!C44</f>
        <v>1444730.76</v>
      </c>
      <c r="D44" s="11">
        <f>+'คชจ.หน่วยงาน63'!D44</f>
        <v>0</v>
      </c>
      <c r="E44" s="11">
        <f>+'คชจ.หน่วยงาน63'!E44</f>
        <v>0</v>
      </c>
      <c r="F44" s="11">
        <f>+'คชจ.หน่วยงาน63'!F44</f>
        <v>7268</v>
      </c>
      <c r="G44" s="11">
        <f>+'คชจ.หน่วยงาน63'!G44</f>
        <v>0</v>
      </c>
      <c r="H44" s="11">
        <f>+'คชจ.หน่วยงาน63'!H44</f>
        <v>0</v>
      </c>
      <c r="I44" s="11">
        <f>+'คชจ.หน่วยงาน63'!I44</f>
        <v>0</v>
      </c>
      <c r="J44" s="11">
        <f>+'คชจ.หน่วยงาน63'!J44</f>
        <v>0</v>
      </c>
      <c r="K44" s="11">
        <f>+'คชจ.หน่วยงาน63'!Q44</f>
        <v>0</v>
      </c>
      <c r="L44" s="11">
        <f>+'คชจ.หน่วยงาน63'!R44</f>
        <v>0</v>
      </c>
      <c r="M44" s="11">
        <f>+'คชจ.หน่วยงาน63'!S44</f>
        <v>0</v>
      </c>
      <c r="N44" s="11">
        <f t="shared" si="0"/>
        <v>0</v>
      </c>
      <c r="O44" s="11">
        <f t="shared" si="1"/>
        <v>1451998.76</v>
      </c>
      <c r="P44" s="11">
        <f t="shared" si="2"/>
        <v>0</v>
      </c>
      <c r="Q44" s="11">
        <f>+'คชจ.หน่วยงาน63'!K44</f>
        <v>0</v>
      </c>
      <c r="R44" s="11">
        <f>+'คชจ.หน่วยงาน63'!L44</f>
        <v>1165632</v>
      </c>
      <c r="S44" s="11">
        <f>+'คชจ.หน่วยงาน63'!M44</f>
        <v>0</v>
      </c>
      <c r="T44" s="11">
        <f>+'คชจ.หน่วยงาน63'!N44</f>
        <v>0</v>
      </c>
      <c r="U44" s="11">
        <f>+'คชจ.หน่วยงาน63'!O44</f>
        <v>0</v>
      </c>
      <c r="V44" s="11">
        <f>+'คชจ.หน่วยงาน63'!P44</f>
        <v>0</v>
      </c>
      <c r="W44" s="1">
        <f t="shared" si="3"/>
        <v>0</v>
      </c>
      <c r="X44" s="1">
        <f t="shared" si="4"/>
        <v>1165632</v>
      </c>
      <c r="Y44" s="1">
        <f t="shared" si="5"/>
        <v>0</v>
      </c>
      <c r="Z44" s="11">
        <f>+'คชจ.หน่วยงาน63'!T44</f>
        <v>0</v>
      </c>
      <c r="AA44" s="11">
        <f>+'คชจ.หน่วยงาน63'!U44</f>
        <v>434560</v>
      </c>
      <c r="AB44" s="11">
        <f>+'คชจ.หน่วยงาน63'!V44</f>
        <v>0</v>
      </c>
      <c r="AC44" s="1">
        <f t="shared" si="6"/>
        <v>0</v>
      </c>
      <c r="AD44" s="1">
        <f t="shared" si="7"/>
        <v>434560</v>
      </c>
      <c r="AE44" s="1">
        <f t="shared" si="8"/>
        <v>0</v>
      </c>
      <c r="AF44" s="1">
        <f t="shared" si="9"/>
        <v>0</v>
      </c>
      <c r="AG44" s="1">
        <f t="shared" si="10"/>
        <v>3052190.76</v>
      </c>
      <c r="AH44" s="1">
        <f t="shared" si="11"/>
        <v>0</v>
      </c>
      <c r="AI44" s="1">
        <f t="shared" si="12"/>
        <v>3052190.76</v>
      </c>
    </row>
    <row r="45" spans="1:35" s="5" customFormat="1" ht="18.75">
      <c r="A45" s="13" t="s">
        <v>301</v>
      </c>
      <c r="B45" s="11">
        <f>+'คชจ.หน่วยงาน63'!B45</f>
        <v>0</v>
      </c>
      <c r="C45" s="11">
        <f>+'คชจ.หน่วยงาน63'!C45</f>
        <v>86694</v>
      </c>
      <c r="D45" s="11">
        <f>+'คชจ.หน่วยงาน63'!D45</f>
        <v>0</v>
      </c>
      <c r="E45" s="11">
        <f>+'คชจ.หน่วยงาน63'!E45</f>
        <v>0</v>
      </c>
      <c r="F45" s="11">
        <f>+'คชจ.หน่วยงาน63'!F45</f>
        <v>0</v>
      </c>
      <c r="G45" s="11">
        <f>+'คชจ.หน่วยงาน63'!G45</f>
        <v>0</v>
      </c>
      <c r="H45" s="11">
        <f>+'คชจ.หน่วยงาน63'!H45</f>
        <v>0</v>
      </c>
      <c r="I45" s="11">
        <f>+'คชจ.หน่วยงาน63'!I45</f>
        <v>0</v>
      </c>
      <c r="J45" s="11">
        <f>+'คชจ.หน่วยงาน63'!J45</f>
        <v>0</v>
      </c>
      <c r="K45" s="11">
        <f>+'คชจ.หน่วยงาน63'!Q45</f>
        <v>0</v>
      </c>
      <c r="L45" s="11">
        <f>+'คชจ.หน่วยงาน63'!R45</f>
        <v>0</v>
      </c>
      <c r="M45" s="11">
        <f>+'คชจ.หน่วยงาน63'!S45</f>
        <v>0</v>
      </c>
      <c r="N45" s="11">
        <f t="shared" si="0"/>
        <v>0</v>
      </c>
      <c r="O45" s="11">
        <f t="shared" si="1"/>
        <v>86694</v>
      </c>
      <c r="P45" s="11">
        <f t="shared" si="2"/>
        <v>0</v>
      </c>
      <c r="Q45" s="11">
        <f>+'คชจ.หน่วยงาน63'!K45</f>
        <v>0</v>
      </c>
      <c r="R45" s="11">
        <f>+'คชจ.หน่วยงาน63'!L45</f>
        <v>554742</v>
      </c>
      <c r="S45" s="11">
        <f>+'คชจ.หน่วยงาน63'!M45</f>
        <v>0</v>
      </c>
      <c r="T45" s="11">
        <f>+'คชจ.หน่วยงาน63'!N45</f>
        <v>0</v>
      </c>
      <c r="U45" s="11">
        <f>+'คชจ.หน่วยงาน63'!O45</f>
        <v>0</v>
      </c>
      <c r="V45" s="11">
        <f>+'คชจ.หน่วยงาน63'!P45</f>
        <v>0</v>
      </c>
      <c r="W45" s="1">
        <f t="shared" si="3"/>
        <v>0</v>
      </c>
      <c r="X45" s="1">
        <f t="shared" si="4"/>
        <v>554742</v>
      </c>
      <c r="Y45" s="1">
        <f t="shared" si="5"/>
        <v>0</v>
      </c>
      <c r="Z45" s="11">
        <f>+'คชจ.หน่วยงาน63'!T45</f>
        <v>0</v>
      </c>
      <c r="AA45" s="11">
        <f>+'คชจ.หน่วยงาน63'!U45</f>
        <v>0</v>
      </c>
      <c r="AB45" s="11">
        <f>+'คชจ.หน่วยงาน63'!V45</f>
        <v>0</v>
      </c>
      <c r="AC45" s="1">
        <f t="shared" si="6"/>
        <v>0</v>
      </c>
      <c r="AD45" s="1">
        <f t="shared" si="7"/>
        <v>0</v>
      </c>
      <c r="AE45" s="1">
        <f t="shared" si="8"/>
        <v>0</v>
      </c>
      <c r="AF45" s="1">
        <f t="shared" si="9"/>
        <v>0</v>
      </c>
      <c r="AG45" s="1">
        <f t="shared" si="10"/>
        <v>641436</v>
      </c>
      <c r="AH45" s="1">
        <f t="shared" si="11"/>
        <v>0</v>
      </c>
      <c r="AI45" s="1">
        <f t="shared" si="12"/>
        <v>641436</v>
      </c>
    </row>
    <row r="46" spans="1:35" s="5" customFormat="1" ht="18.75">
      <c r="A46" s="13" t="s">
        <v>302</v>
      </c>
      <c r="B46" s="11">
        <f>+'คชจ.หน่วยงาน63'!B46</f>
        <v>0</v>
      </c>
      <c r="C46" s="11">
        <f>+'คชจ.หน่วยงาน63'!C46</f>
        <v>173887</v>
      </c>
      <c r="D46" s="11">
        <f>+'คชจ.หน่วยงาน63'!D46</f>
        <v>0</v>
      </c>
      <c r="E46" s="11">
        <f>+'คชจ.หน่วยงาน63'!E46</f>
        <v>0</v>
      </c>
      <c r="F46" s="11">
        <f>+'คชจ.หน่วยงาน63'!F46</f>
        <v>0</v>
      </c>
      <c r="G46" s="11">
        <f>+'คชจ.หน่วยงาน63'!G46</f>
        <v>0</v>
      </c>
      <c r="H46" s="11">
        <f>+'คชจ.หน่วยงาน63'!H46</f>
        <v>0</v>
      </c>
      <c r="I46" s="11">
        <f>+'คชจ.หน่วยงาน63'!I46</f>
        <v>0</v>
      </c>
      <c r="J46" s="11">
        <f>+'คชจ.หน่วยงาน63'!J46</f>
        <v>0</v>
      </c>
      <c r="K46" s="11">
        <f>+'คชจ.หน่วยงาน63'!Q46</f>
        <v>0</v>
      </c>
      <c r="L46" s="11">
        <f>+'คชจ.หน่วยงาน63'!R46</f>
        <v>0</v>
      </c>
      <c r="M46" s="11">
        <f>+'คชจ.หน่วยงาน63'!S46</f>
        <v>0</v>
      </c>
      <c r="N46" s="11">
        <f t="shared" si="0"/>
        <v>0</v>
      </c>
      <c r="O46" s="11">
        <f t="shared" si="1"/>
        <v>173887</v>
      </c>
      <c r="P46" s="11">
        <f t="shared" si="2"/>
        <v>0</v>
      </c>
      <c r="Q46" s="11">
        <f>+'คชจ.หน่วยงาน63'!K46</f>
        <v>0</v>
      </c>
      <c r="R46" s="11">
        <f>+'คชจ.หน่วยงาน63'!L46</f>
        <v>112936</v>
      </c>
      <c r="S46" s="11">
        <f>+'คชจ.หน่วยงาน63'!M46</f>
        <v>0</v>
      </c>
      <c r="T46" s="11">
        <f>+'คชจ.หน่วยงาน63'!N46</f>
        <v>0</v>
      </c>
      <c r="U46" s="11">
        <f>+'คชจ.หน่วยงาน63'!O46</f>
        <v>0</v>
      </c>
      <c r="V46" s="11">
        <f>+'คชจ.หน่วยงาน63'!P46</f>
        <v>0</v>
      </c>
      <c r="W46" s="1">
        <f t="shared" si="3"/>
        <v>0</v>
      </c>
      <c r="X46" s="1">
        <f t="shared" si="4"/>
        <v>112936</v>
      </c>
      <c r="Y46" s="1">
        <f t="shared" si="5"/>
        <v>0</v>
      </c>
      <c r="Z46" s="11">
        <f>+'คชจ.หน่วยงาน63'!T46</f>
        <v>0</v>
      </c>
      <c r="AA46" s="11">
        <f>+'คชจ.หน่วยงาน63'!U46</f>
        <v>0</v>
      </c>
      <c r="AB46" s="11">
        <f>+'คชจ.หน่วยงาน63'!V46</f>
        <v>0</v>
      </c>
      <c r="AC46" s="1">
        <f t="shared" si="6"/>
        <v>0</v>
      </c>
      <c r="AD46" s="1">
        <f t="shared" si="7"/>
        <v>0</v>
      </c>
      <c r="AE46" s="1">
        <f t="shared" si="8"/>
        <v>0</v>
      </c>
      <c r="AF46" s="1">
        <f t="shared" si="9"/>
        <v>0</v>
      </c>
      <c r="AG46" s="1">
        <f t="shared" si="10"/>
        <v>286823</v>
      </c>
      <c r="AH46" s="1">
        <f t="shared" si="11"/>
        <v>0</v>
      </c>
      <c r="AI46" s="1">
        <f t="shared" si="12"/>
        <v>286823</v>
      </c>
    </row>
    <row r="47" spans="1:35" s="5" customFormat="1" ht="18.75">
      <c r="A47" s="13" t="s">
        <v>303</v>
      </c>
      <c r="B47" s="11">
        <f>+'คชจ.หน่วยงาน63'!B47</f>
        <v>0</v>
      </c>
      <c r="C47" s="11">
        <f>+'คชจ.หน่วยงาน63'!C47</f>
        <v>0</v>
      </c>
      <c r="D47" s="11">
        <f>+'คชจ.หน่วยงาน63'!D47</f>
        <v>0</v>
      </c>
      <c r="E47" s="11">
        <f>+'คชจ.หน่วยงาน63'!E47</f>
        <v>0</v>
      </c>
      <c r="F47" s="11">
        <f>+'คชจ.หน่วยงาน63'!F47</f>
        <v>0</v>
      </c>
      <c r="G47" s="11">
        <f>+'คชจ.หน่วยงาน63'!G47</f>
        <v>0</v>
      </c>
      <c r="H47" s="11">
        <f>+'คชจ.หน่วยงาน63'!H47</f>
        <v>0</v>
      </c>
      <c r="I47" s="11">
        <f>+'คชจ.หน่วยงาน63'!I47</f>
        <v>0</v>
      </c>
      <c r="J47" s="11">
        <f>+'คชจ.หน่วยงาน63'!J47</f>
        <v>0</v>
      </c>
      <c r="K47" s="11">
        <f>+'คชจ.หน่วยงาน63'!Q47</f>
        <v>0</v>
      </c>
      <c r="L47" s="11">
        <f>+'คชจ.หน่วยงาน63'!R47</f>
        <v>0</v>
      </c>
      <c r="M47" s="11">
        <f>+'คชจ.หน่วยงาน63'!S47</f>
        <v>0</v>
      </c>
      <c r="N47" s="11">
        <f aca="true" t="shared" si="13" ref="N47:P50">+B47+E47+H47+K47</f>
        <v>0</v>
      </c>
      <c r="O47" s="11">
        <f t="shared" si="13"/>
        <v>0</v>
      </c>
      <c r="P47" s="11">
        <f t="shared" si="13"/>
        <v>0</v>
      </c>
      <c r="Q47" s="11">
        <f>+'คชจ.หน่วยงาน63'!K47</f>
        <v>0</v>
      </c>
      <c r="R47" s="11">
        <f>+'คชจ.หน่วยงาน63'!L47</f>
        <v>81598</v>
      </c>
      <c r="S47" s="11">
        <f>+'คชจ.หน่วยงาน63'!M47</f>
        <v>0</v>
      </c>
      <c r="T47" s="11">
        <f>+'คชจ.หน่วยงาน63'!N47</f>
        <v>0</v>
      </c>
      <c r="U47" s="11">
        <f>+'คชจ.หน่วยงาน63'!O47</f>
        <v>0</v>
      </c>
      <c r="V47" s="11">
        <f>+'คชจ.หน่วยงาน63'!P47</f>
        <v>0</v>
      </c>
      <c r="W47" s="1">
        <f t="shared" si="3"/>
        <v>0</v>
      </c>
      <c r="X47" s="1">
        <f t="shared" si="4"/>
        <v>81598</v>
      </c>
      <c r="Y47" s="1">
        <f t="shared" si="5"/>
        <v>0</v>
      </c>
      <c r="Z47" s="11">
        <f>+'คชจ.หน่วยงาน63'!T47</f>
        <v>0</v>
      </c>
      <c r="AA47" s="11">
        <f>+'คชจ.หน่วยงาน63'!U47</f>
        <v>0</v>
      </c>
      <c r="AB47" s="11">
        <f>+'คชจ.หน่วยงาน63'!V47</f>
        <v>0</v>
      </c>
      <c r="AC47" s="1">
        <f t="shared" si="6"/>
        <v>0</v>
      </c>
      <c r="AD47" s="1">
        <f t="shared" si="7"/>
        <v>0</v>
      </c>
      <c r="AE47" s="1">
        <f t="shared" si="8"/>
        <v>0</v>
      </c>
      <c r="AF47" s="1">
        <f t="shared" si="9"/>
        <v>0</v>
      </c>
      <c r="AG47" s="1">
        <f t="shared" si="10"/>
        <v>81598</v>
      </c>
      <c r="AH47" s="1">
        <f t="shared" si="11"/>
        <v>0</v>
      </c>
      <c r="AI47" s="1">
        <f t="shared" si="12"/>
        <v>81598</v>
      </c>
    </row>
    <row r="48" spans="1:35" s="5" customFormat="1" ht="19.5" thickBot="1">
      <c r="A48" s="50" t="s">
        <v>304</v>
      </c>
      <c r="B48" s="15">
        <f>+'คชจ.หน่วยงาน63'!B48</f>
        <v>0</v>
      </c>
      <c r="C48" s="15">
        <f>+'คชจ.หน่วยงาน63'!C48</f>
        <v>355680</v>
      </c>
      <c r="D48" s="15">
        <f>+'คชจ.หน่วยงาน63'!D48</f>
        <v>0</v>
      </c>
      <c r="E48" s="15">
        <f>+'คชจ.หน่วยงาน63'!E48</f>
        <v>0</v>
      </c>
      <c r="F48" s="15">
        <f>+'คชจ.หน่วยงาน63'!F48</f>
        <v>0</v>
      </c>
      <c r="G48" s="15">
        <f>+'คชจ.หน่วยงาน63'!G48</f>
        <v>0</v>
      </c>
      <c r="H48" s="15">
        <f>+'คชจ.หน่วยงาน63'!H48</f>
        <v>0</v>
      </c>
      <c r="I48" s="15">
        <f>+'คชจ.หน่วยงาน63'!I48</f>
        <v>0</v>
      </c>
      <c r="J48" s="15">
        <f>+'คชจ.หน่วยงาน63'!J48</f>
        <v>0</v>
      </c>
      <c r="K48" s="15">
        <f>+'คชจ.หน่วยงาน63'!Q48</f>
        <v>0</v>
      </c>
      <c r="L48" s="15">
        <f>+'คชจ.หน่วยงาน63'!R48</f>
        <v>0</v>
      </c>
      <c r="M48" s="15">
        <f>+'คชจ.หน่วยงาน63'!S48</f>
        <v>0</v>
      </c>
      <c r="N48" s="15">
        <f t="shared" si="13"/>
        <v>0</v>
      </c>
      <c r="O48" s="15">
        <f t="shared" si="13"/>
        <v>355680</v>
      </c>
      <c r="P48" s="15">
        <f t="shared" si="13"/>
        <v>0</v>
      </c>
      <c r="Q48" s="15">
        <f>+'คชจ.หน่วยงาน63'!K48</f>
        <v>0</v>
      </c>
      <c r="R48" s="15">
        <f>+'คชจ.หน่วยงาน63'!L48</f>
        <v>33393.36</v>
      </c>
      <c r="S48" s="15">
        <f>+'คชจ.หน่วยงาน63'!M48</f>
        <v>0</v>
      </c>
      <c r="T48" s="15">
        <f>+'คชจ.หน่วยงาน63'!N48</f>
        <v>0</v>
      </c>
      <c r="U48" s="15">
        <f>+'คชจ.หน่วยงาน63'!O48</f>
        <v>0</v>
      </c>
      <c r="V48" s="15">
        <f>+'คชจ.หน่วยงาน63'!P48</f>
        <v>0</v>
      </c>
      <c r="W48" s="8">
        <f t="shared" si="3"/>
        <v>0</v>
      </c>
      <c r="X48" s="8">
        <f t="shared" si="4"/>
        <v>33393.36</v>
      </c>
      <c r="Y48" s="8">
        <f t="shared" si="5"/>
        <v>0</v>
      </c>
      <c r="Z48" s="15">
        <f>+'คชจ.หน่วยงาน63'!T48</f>
        <v>0</v>
      </c>
      <c r="AA48" s="15">
        <f>+'คชจ.หน่วยงาน63'!U48</f>
        <v>0</v>
      </c>
      <c r="AB48" s="15">
        <f>+'คชจ.หน่วยงาน63'!V48</f>
        <v>0</v>
      </c>
      <c r="AC48" s="8">
        <f t="shared" si="6"/>
        <v>0</v>
      </c>
      <c r="AD48" s="8">
        <f t="shared" si="7"/>
        <v>0</v>
      </c>
      <c r="AE48" s="8">
        <f t="shared" si="8"/>
        <v>0</v>
      </c>
      <c r="AF48" s="8">
        <f t="shared" si="9"/>
        <v>0</v>
      </c>
      <c r="AG48" s="8">
        <f t="shared" si="10"/>
        <v>389073.36</v>
      </c>
      <c r="AH48" s="8">
        <f t="shared" si="11"/>
        <v>0</v>
      </c>
      <c r="AI48" s="8">
        <f t="shared" si="12"/>
        <v>389073.36</v>
      </c>
    </row>
    <row r="49" spans="1:35" s="6" customFormat="1" ht="20.25" thickBot="1" thickTop="1">
      <c r="A49" s="55" t="s">
        <v>22</v>
      </c>
      <c r="B49" s="129">
        <f>+'คชจ.หน่วยงาน63'!B49</f>
        <v>0</v>
      </c>
      <c r="C49" s="129">
        <f>+'คชจ.หน่วยงาน63'!C49</f>
        <v>8935765.08</v>
      </c>
      <c r="D49" s="129">
        <f>+'คชจ.หน่วยงาน63'!D49</f>
        <v>0</v>
      </c>
      <c r="E49" s="129">
        <f>+'คชจ.หน่วยงาน63'!E49</f>
        <v>0</v>
      </c>
      <c r="F49" s="129">
        <f>+'คชจ.หน่วยงาน63'!F49</f>
        <v>32268</v>
      </c>
      <c r="G49" s="129">
        <f>+'คชจ.หน่วยงาน63'!G49</f>
        <v>0</v>
      </c>
      <c r="H49" s="129">
        <f>+'คชจ.หน่วยงาน63'!H49</f>
        <v>0</v>
      </c>
      <c r="I49" s="129">
        <f>+'คชจ.หน่วยงาน63'!I49</f>
        <v>32892</v>
      </c>
      <c r="J49" s="129">
        <f>+'คชจ.หน่วยงาน63'!J49</f>
        <v>0</v>
      </c>
      <c r="K49" s="129">
        <f>+'คชจ.หน่วยงาน63'!Q49</f>
        <v>0</v>
      </c>
      <c r="L49" s="129">
        <f>+'คชจ.หน่วยงาน63'!R49</f>
        <v>0</v>
      </c>
      <c r="M49" s="129">
        <f>+'คชจ.หน่วยงาน63'!S49</f>
        <v>0</v>
      </c>
      <c r="N49" s="129">
        <f t="shared" si="13"/>
        <v>0</v>
      </c>
      <c r="O49" s="129">
        <f t="shared" si="13"/>
        <v>9000925.08</v>
      </c>
      <c r="P49" s="129">
        <f t="shared" si="13"/>
        <v>0</v>
      </c>
      <c r="Q49" s="129">
        <f>+'คชจ.หน่วยงาน63'!K49</f>
        <v>0</v>
      </c>
      <c r="R49" s="129">
        <f>+'คชจ.หน่วยงาน63'!L49</f>
        <v>16500729.51</v>
      </c>
      <c r="S49" s="129">
        <f>+'คชจ.หน่วยงาน63'!M49</f>
        <v>0</v>
      </c>
      <c r="T49" s="129">
        <f>+'คชจ.หน่วยงาน63'!N49</f>
        <v>0</v>
      </c>
      <c r="U49" s="129">
        <f>+'คชจ.หน่วยงาน63'!O49</f>
        <v>0</v>
      </c>
      <c r="V49" s="129">
        <f>+'คชจ.หน่วยงาน63'!P49</f>
        <v>0</v>
      </c>
      <c r="W49" s="130">
        <f t="shared" si="3"/>
        <v>0</v>
      </c>
      <c r="X49" s="130">
        <f t="shared" si="4"/>
        <v>16500729.51</v>
      </c>
      <c r="Y49" s="130">
        <f t="shared" si="5"/>
        <v>0</v>
      </c>
      <c r="Z49" s="129">
        <f>+'คชจ.หน่วยงาน63'!T49</f>
        <v>0</v>
      </c>
      <c r="AA49" s="129">
        <f>+'คชจ.หน่วยงาน63'!U49</f>
        <v>1160540</v>
      </c>
      <c r="AB49" s="129">
        <f>+'คชจ.หน่วยงาน63'!V49</f>
        <v>0</v>
      </c>
      <c r="AC49" s="130">
        <f t="shared" si="6"/>
        <v>0</v>
      </c>
      <c r="AD49" s="130">
        <f t="shared" si="7"/>
        <v>1160540</v>
      </c>
      <c r="AE49" s="130">
        <f t="shared" si="8"/>
        <v>0</v>
      </c>
      <c r="AF49" s="130">
        <f t="shared" si="9"/>
        <v>0</v>
      </c>
      <c r="AG49" s="130">
        <f t="shared" si="10"/>
        <v>26662194.59</v>
      </c>
      <c r="AH49" s="130">
        <f t="shared" si="11"/>
        <v>0</v>
      </c>
      <c r="AI49" s="130">
        <f t="shared" si="12"/>
        <v>26662194.59</v>
      </c>
    </row>
    <row r="50" spans="1:35" s="54" customFormat="1" ht="20.25" thickBot="1" thickTop="1">
      <c r="A50" s="55" t="s">
        <v>34</v>
      </c>
      <c r="B50" s="129">
        <f>+'คชจ.หน่วยงาน63'!B50</f>
        <v>573090990.16</v>
      </c>
      <c r="C50" s="129">
        <f>+'คชจ.หน่วยงาน63'!C50</f>
        <v>72677085.11</v>
      </c>
      <c r="D50" s="129">
        <f>+'คชจ.หน่วยงาน63'!D50</f>
        <v>8984220.52</v>
      </c>
      <c r="E50" s="129">
        <f>+'คชจ.หน่วยงาน63'!E50</f>
        <v>698718.5</v>
      </c>
      <c r="F50" s="129">
        <f>+'คชจ.หน่วยงาน63'!F50</f>
        <v>2393091.71</v>
      </c>
      <c r="G50" s="129">
        <f>+'คชจ.หน่วยงาน63'!G50</f>
        <v>0</v>
      </c>
      <c r="H50" s="129">
        <f>+'คชจ.หน่วยงาน63'!H50</f>
        <v>1124137.8599999999</v>
      </c>
      <c r="I50" s="129">
        <f>+'คชจ.หน่วยงาน63'!I50</f>
        <v>684827.7200000001</v>
      </c>
      <c r="J50" s="129">
        <f>+'คชจ.หน่วยงาน63'!J50</f>
        <v>0</v>
      </c>
      <c r="K50" s="129">
        <f>+'คชจ.หน่วยงาน63'!Q50</f>
        <v>34131506.03</v>
      </c>
      <c r="L50" s="129">
        <f>+'คชจ.หน่วยงาน63'!R50</f>
        <v>50340114.28</v>
      </c>
      <c r="M50" s="129">
        <f>+'คชจ.หน่วยงาน63'!S50</f>
        <v>0</v>
      </c>
      <c r="N50" s="129">
        <f t="shared" si="13"/>
        <v>609045352.55</v>
      </c>
      <c r="O50" s="129">
        <f t="shared" si="13"/>
        <v>126095118.82</v>
      </c>
      <c r="P50" s="129">
        <f t="shared" si="13"/>
        <v>8984220.52</v>
      </c>
      <c r="Q50" s="129">
        <f>+'คชจ.หน่วยงาน63'!K50</f>
        <v>92632118.32999998</v>
      </c>
      <c r="R50" s="129">
        <f>+'คชจ.หน่วยงาน63'!L50</f>
        <v>112108822.55</v>
      </c>
      <c r="S50" s="129">
        <f>+'คชจ.หน่วยงาน63'!M50</f>
        <v>0</v>
      </c>
      <c r="T50" s="129">
        <f>+'คชจ.หน่วยงาน63'!N50</f>
        <v>197449436.18</v>
      </c>
      <c r="U50" s="129">
        <f>+'คชจ.หน่วยงาน63'!O50</f>
        <v>38355552.50999999</v>
      </c>
      <c r="V50" s="129">
        <f>+'คชจ.หน่วยงาน63'!P50</f>
        <v>0</v>
      </c>
      <c r="W50" s="130">
        <f t="shared" si="3"/>
        <v>290081554.51</v>
      </c>
      <c r="X50" s="130">
        <f t="shared" si="4"/>
        <v>150464375.06</v>
      </c>
      <c r="Y50" s="130">
        <f t="shared" si="5"/>
        <v>0</v>
      </c>
      <c r="Z50" s="129">
        <f>+'คชจ.หน่วยงาน63'!T50</f>
        <v>20496752</v>
      </c>
      <c r="AA50" s="129">
        <f>+'คชจ.หน่วยงาน63'!U50</f>
        <v>36909656.18000001</v>
      </c>
      <c r="AB50" s="129">
        <f>+'คชจ.หน่วยงาน63'!V50</f>
        <v>0</v>
      </c>
      <c r="AC50" s="130">
        <f t="shared" si="6"/>
        <v>20496752</v>
      </c>
      <c r="AD50" s="130">
        <f t="shared" si="7"/>
        <v>36909656.18000001</v>
      </c>
      <c r="AE50" s="130">
        <f t="shared" si="8"/>
        <v>0</v>
      </c>
      <c r="AF50" s="130">
        <f t="shared" si="9"/>
        <v>919623659.06</v>
      </c>
      <c r="AG50" s="130">
        <f t="shared" si="10"/>
        <v>313469150.06</v>
      </c>
      <c r="AH50" s="130">
        <f t="shared" si="11"/>
        <v>8984220.52</v>
      </c>
      <c r="AI50" s="130">
        <f t="shared" si="12"/>
        <v>1242077029.6399999</v>
      </c>
    </row>
    <row r="51" spans="7:32" s="5" customFormat="1" ht="19.5" thickTop="1">
      <c r="G51" s="5" t="s">
        <v>212</v>
      </c>
      <c r="X51" s="26"/>
      <c r="Y51" s="26"/>
      <c r="Z51" s="26"/>
      <c r="AA51" s="26"/>
      <c r="AB51" s="26"/>
      <c r="AC51" s="26"/>
      <c r="AD51" s="26"/>
      <c r="AE51" s="26"/>
      <c r="AF51" s="6"/>
    </row>
  </sheetData>
  <sheetProtection/>
  <mergeCells count="17">
    <mergeCell ref="W5:Y5"/>
    <mergeCell ref="H5:J5"/>
    <mergeCell ref="Q5:S5"/>
    <mergeCell ref="T5:V5"/>
    <mergeCell ref="K5:M5"/>
    <mergeCell ref="B5:D5"/>
    <mergeCell ref="E5:G5"/>
    <mergeCell ref="Z5:AB5"/>
    <mergeCell ref="AC5:AE5"/>
    <mergeCell ref="AI5:AI6"/>
    <mergeCell ref="A1:AO1"/>
    <mergeCell ref="A2:AO2"/>
    <mergeCell ref="AF5:AH5"/>
    <mergeCell ref="A4:D4"/>
    <mergeCell ref="V4:AF4"/>
    <mergeCell ref="A5:A6"/>
    <mergeCell ref="N5:P5"/>
  </mergeCells>
  <printOptions horizontalCentered="1"/>
  <pageMargins left="0.15748031496062992" right="0.15748031496062992" top="0.5511811023622047" bottom="0.3937007874015748" header="0.31496062992125984" footer="0.31496062992125984"/>
  <pageSetup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7"/>
  <sheetViews>
    <sheetView zoomScalePageLayoutView="0" workbookViewId="0" topLeftCell="Z1">
      <selection activeCell="AD11" sqref="AD11"/>
    </sheetView>
  </sheetViews>
  <sheetFormatPr defaultColWidth="13.140625" defaultRowHeight="15"/>
  <cols>
    <col min="1" max="1" width="40.00390625" style="17" bestFit="1" customWidth="1"/>
    <col min="2" max="2" width="13.28125" style="18" hidden="1" customWidth="1"/>
    <col min="3" max="4" width="11.8515625" style="18" hidden="1" customWidth="1"/>
    <col min="5" max="5" width="11.7109375" style="18" hidden="1" customWidth="1"/>
    <col min="6" max="6" width="10.8515625" style="18" hidden="1" customWidth="1"/>
    <col min="7" max="7" width="5.421875" style="18" hidden="1" customWidth="1"/>
    <col min="8" max="8" width="11.7109375" style="18" hidden="1" customWidth="1"/>
    <col min="9" max="9" width="11.00390625" style="18" hidden="1" customWidth="1"/>
    <col min="10" max="10" width="6.00390625" style="18" hidden="1" customWidth="1"/>
    <col min="11" max="11" width="12.7109375" style="18" hidden="1" customWidth="1"/>
    <col min="12" max="12" width="11.7109375" style="18" hidden="1" customWidth="1"/>
    <col min="13" max="13" width="6.8515625" style="18" hidden="1" customWidth="1"/>
    <col min="14" max="14" width="12.7109375" style="18" hidden="1" customWidth="1"/>
    <col min="15" max="15" width="13.00390625" style="18" hidden="1" customWidth="1"/>
    <col min="16" max="16" width="12.57421875" style="18" hidden="1" customWidth="1"/>
    <col min="17" max="17" width="6.8515625" style="18" hidden="1" customWidth="1"/>
    <col min="18" max="18" width="12.7109375" style="18" hidden="1" customWidth="1"/>
    <col min="19" max="19" width="11.8515625" style="18" hidden="1" customWidth="1"/>
    <col min="20" max="20" width="6.8515625" style="18" hidden="1" customWidth="1"/>
    <col min="21" max="21" width="13.140625" style="18" hidden="1" customWidth="1"/>
    <col min="22" max="22" width="12.140625" style="18" hidden="1" customWidth="1"/>
    <col min="23" max="23" width="12.00390625" style="18" hidden="1" customWidth="1"/>
    <col min="24" max="24" width="11.7109375" style="18" hidden="1" customWidth="1"/>
    <col min="25" max="25" width="11.8515625" style="17" hidden="1" customWidth="1"/>
    <col min="26" max="26" width="17.00390625" style="6" customWidth="1"/>
    <col min="27" max="27" width="10.7109375" style="6" customWidth="1"/>
    <col min="28" max="28" width="15.140625" style="6" customWidth="1"/>
    <col min="29" max="29" width="16.421875" style="6" customWidth="1"/>
    <col min="30" max="30" width="12.7109375" style="6" customWidth="1"/>
    <col min="31" max="31" width="14.57421875" style="6" customWidth="1"/>
    <col min="32" max="33" width="14.28125" style="6" customWidth="1"/>
    <col min="34" max="34" width="15.421875" style="6" customWidth="1"/>
    <col min="35" max="16384" width="13.140625" style="6" customWidth="1"/>
  </cols>
  <sheetData>
    <row r="1" spans="1:34" ht="18.75">
      <c r="A1" s="188" t="s">
        <v>306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</row>
    <row r="2" spans="1:34" ht="18.75">
      <c r="A2" s="188" t="s">
        <v>254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</row>
    <row r="3" spans="1:34" ht="18.75">
      <c r="A3" s="189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</row>
    <row r="4" spans="1:34" s="5" customFormat="1" ht="39" customHeight="1">
      <c r="A4" s="178" t="s">
        <v>3</v>
      </c>
      <c r="B4" s="178" t="s">
        <v>35</v>
      </c>
      <c r="C4" s="178"/>
      <c r="D4" s="178"/>
      <c r="E4" s="178" t="s">
        <v>36</v>
      </c>
      <c r="F4" s="178"/>
      <c r="G4" s="178"/>
      <c r="H4" s="178" t="s">
        <v>37</v>
      </c>
      <c r="I4" s="178"/>
      <c r="J4" s="178"/>
      <c r="K4" s="178" t="s">
        <v>38</v>
      </c>
      <c r="L4" s="178"/>
      <c r="M4" s="178"/>
      <c r="N4" s="49" t="s">
        <v>44</v>
      </c>
      <c r="O4" s="178" t="s">
        <v>39</v>
      </c>
      <c r="P4" s="178"/>
      <c r="Q4" s="178"/>
      <c r="R4" s="178" t="s">
        <v>40</v>
      </c>
      <c r="S4" s="178"/>
      <c r="T4" s="178"/>
      <c r="U4" s="49" t="s">
        <v>45</v>
      </c>
      <c r="V4" s="178" t="s">
        <v>41</v>
      </c>
      <c r="W4" s="178"/>
      <c r="X4" s="178"/>
      <c r="Y4" s="71" t="s">
        <v>209</v>
      </c>
      <c r="Z4" s="21" t="s">
        <v>4</v>
      </c>
      <c r="AA4" s="191" t="s">
        <v>133</v>
      </c>
      <c r="AB4" s="192"/>
      <c r="AC4" s="192"/>
      <c r="AD4" s="193"/>
      <c r="AE4" s="190" t="s">
        <v>147</v>
      </c>
      <c r="AF4" s="178"/>
      <c r="AG4" s="178"/>
      <c r="AH4" s="178" t="s">
        <v>22</v>
      </c>
    </row>
    <row r="5" spans="1:34" ht="73.5" customHeight="1">
      <c r="A5" s="178"/>
      <c r="B5" s="11" t="s">
        <v>0</v>
      </c>
      <c r="C5" s="11" t="s">
        <v>1</v>
      </c>
      <c r="D5" s="11" t="s">
        <v>5</v>
      </c>
      <c r="E5" s="11" t="s">
        <v>0</v>
      </c>
      <c r="F5" s="11" t="s">
        <v>1</v>
      </c>
      <c r="G5" s="11" t="s">
        <v>5</v>
      </c>
      <c r="H5" s="11" t="s">
        <v>0</v>
      </c>
      <c r="I5" s="11" t="s">
        <v>1</v>
      </c>
      <c r="J5" s="11" t="s">
        <v>5</v>
      </c>
      <c r="K5" s="11" t="s">
        <v>0</v>
      </c>
      <c r="L5" s="11" t="s">
        <v>1</v>
      </c>
      <c r="M5" s="11" t="s">
        <v>5</v>
      </c>
      <c r="N5" s="11" t="s">
        <v>42</v>
      </c>
      <c r="O5" s="11" t="s">
        <v>0</v>
      </c>
      <c r="P5" s="11" t="s">
        <v>1</v>
      </c>
      <c r="Q5" s="11" t="s">
        <v>5</v>
      </c>
      <c r="R5" s="11" t="s">
        <v>0</v>
      </c>
      <c r="S5" s="11" t="s">
        <v>1</v>
      </c>
      <c r="T5" s="11" t="s">
        <v>5</v>
      </c>
      <c r="U5" s="11" t="s">
        <v>43</v>
      </c>
      <c r="V5" s="11" t="s">
        <v>0</v>
      </c>
      <c r="W5" s="11" t="s">
        <v>1</v>
      </c>
      <c r="X5" s="11" t="s">
        <v>5</v>
      </c>
      <c r="Y5" s="11" t="s">
        <v>210</v>
      </c>
      <c r="Z5" s="22" t="s">
        <v>211</v>
      </c>
      <c r="AA5" s="19" t="s">
        <v>274</v>
      </c>
      <c r="AB5" s="12" t="s">
        <v>150</v>
      </c>
      <c r="AC5" s="12" t="s">
        <v>149</v>
      </c>
      <c r="AD5" s="32" t="s">
        <v>146</v>
      </c>
      <c r="AE5" s="19" t="s">
        <v>134</v>
      </c>
      <c r="AF5" s="12" t="s">
        <v>148</v>
      </c>
      <c r="AG5" s="12" t="s">
        <v>135</v>
      </c>
      <c r="AH5" s="178"/>
    </row>
    <row r="6" spans="1:34" ht="19.5" customHeight="1">
      <c r="A6" s="40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2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12">
        <f>+N33</f>
        <v>359244168.9399999</v>
      </c>
      <c r="AC6" s="12">
        <f>+U33</f>
        <v>163192743.5</v>
      </c>
      <c r="AD6" s="12">
        <f>+Y33</f>
        <v>30971126.040000003</v>
      </c>
      <c r="AE6" s="30"/>
      <c r="AF6" s="30"/>
      <c r="AG6" s="30"/>
      <c r="AH6" s="31"/>
    </row>
    <row r="7" spans="1:34" ht="18.75">
      <c r="A7" s="13" t="s">
        <v>7</v>
      </c>
      <c r="B7" s="11">
        <f>+'สรุปรวมคชจ.'!B8</f>
        <v>31579004.17</v>
      </c>
      <c r="C7" s="11">
        <f>+'สรุปรวมคชจ.'!C8</f>
        <v>5556081.85</v>
      </c>
      <c r="D7" s="11">
        <f>+'สรุปรวมคชจ.'!D8</f>
        <v>1605444.48</v>
      </c>
      <c r="E7" s="11">
        <f>+'สรุปรวมคชจ.'!E8</f>
        <v>0</v>
      </c>
      <c r="F7" s="11">
        <f>+'สรุปรวมคชจ.'!F8</f>
        <v>15600</v>
      </c>
      <c r="G7" s="11">
        <f>+'สรุปรวมคชจ.'!G8</f>
        <v>0</v>
      </c>
      <c r="H7" s="11">
        <f>+'สรุปรวมคชจ.'!H8</f>
        <v>0</v>
      </c>
      <c r="I7" s="11">
        <f>+'สรุปรวมคชจ.'!I8</f>
        <v>0</v>
      </c>
      <c r="J7" s="11">
        <f>+'สรุปรวมคชจ.'!J8</f>
        <v>0</v>
      </c>
      <c r="K7" s="11">
        <f>+'สรุปรวมคชจ.'!K8</f>
        <v>130000</v>
      </c>
      <c r="L7" s="11">
        <f>+'สรุปรวมคชจ.'!L8</f>
        <v>4846700</v>
      </c>
      <c r="M7" s="11">
        <f>+'สรุปรวมคชจ.'!M8</f>
        <v>0</v>
      </c>
      <c r="N7" s="11">
        <f>SUM(B7:M7)</f>
        <v>43732830.5</v>
      </c>
      <c r="O7" s="11">
        <f>+'สรุปรวมคชจ.'!Q8</f>
        <v>5164565.49</v>
      </c>
      <c r="P7" s="11">
        <f>+'สรุปรวมคชจ.'!R8</f>
        <v>10357943.55</v>
      </c>
      <c r="Q7" s="11">
        <f>+'สรุปรวมคชจ.'!S8</f>
        <v>0</v>
      </c>
      <c r="R7" s="11">
        <f>+'สรุปรวมคชจ.'!T8</f>
        <v>33935307.05</v>
      </c>
      <c r="S7" s="11">
        <f>+'สรุปรวมคชจ.'!U8</f>
        <v>3371506.14</v>
      </c>
      <c r="T7" s="11">
        <f>+'สรุปรวมคชจ.'!V8</f>
        <v>0</v>
      </c>
      <c r="U7" s="11">
        <f>SUM(O7:T7)</f>
        <v>52829322.23</v>
      </c>
      <c r="V7" s="11">
        <f>+'สรุปรวมคชจ.'!Z8</f>
        <v>10968413</v>
      </c>
      <c r="W7" s="11">
        <f>+'สรุปรวมคชจ.'!AA8</f>
        <v>1296894</v>
      </c>
      <c r="X7" s="11">
        <f>+'สรุปรวมคชจ.'!AB8</f>
        <v>0</v>
      </c>
      <c r="Y7" s="11">
        <f>SUM(V7:X7)</f>
        <v>12265307</v>
      </c>
      <c r="Z7" s="11">
        <f>+N7+U7+Y7</f>
        <v>108827459.72999999</v>
      </c>
      <c r="AA7" s="20">
        <v>2479.55</v>
      </c>
      <c r="AB7" s="1">
        <f>AB6*AA7/AA24</f>
        <v>65558950.18224307</v>
      </c>
      <c r="AC7" s="1">
        <f>AC6*AB7/AB24</f>
        <v>29781262.62365849</v>
      </c>
      <c r="AD7" s="1">
        <f>AD6*AC7/AC24</f>
        <v>5651962.327281226</v>
      </c>
      <c r="AE7" s="20">
        <f>+N7+AB7</f>
        <v>109291780.68224308</v>
      </c>
      <c r="AF7" s="1">
        <f>+U7+AC7</f>
        <v>82610584.85365848</v>
      </c>
      <c r="AG7" s="1">
        <f>+Y7+AD7</f>
        <v>17917269.327281225</v>
      </c>
      <c r="AH7" s="1">
        <f>+AE7+AF7+AG7</f>
        <v>209819634.86318278</v>
      </c>
    </row>
    <row r="8" spans="1:34" ht="18.75">
      <c r="A8" s="13" t="s">
        <v>8</v>
      </c>
      <c r="B8" s="11">
        <f>+'สรุปรวมคชจ.'!B9</f>
        <v>16141449.35</v>
      </c>
      <c r="C8" s="11">
        <f>+'สรุปรวมคชจ.'!C9</f>
        <v>4530460.48</v>
      </c>
      <c r="D8" s="11">
        <f>+'สรุปรวมคชจ.'!D9</f>
        <v>2121002.23</v>
      </c>
      <c r="E8" s="11">
        <f>+'สรุปรวมคชจ.'!E9</f>
        <v>0</v>
      </c>
      <c r="F8" s="11">
        <f>+'สรุปรวมคชจ.'!F9</f>
        <v>38700</v>
      </c>
      <c r="G8" s="11">
        <f>+'สรุปรวมคชจ.'!G9</f>
        <v>0</v>
      </c>
      <c r="H8" s="11">
        <f>+'สรุปรวมคชจ.'!H9</f>
        <v>0</v>
      </c>
      <c r="I8" s="11">
        <f>+'สรุปรวมคชจ.'!I9</f>
        <v>0</v>
      </c>
      <c r="J8" s="11">
        <f>+'สรุปรวมคชจ.'!J9</f>
        <v>0</v>
      </c>
      <c r="K8" s="11">
        <f>+'สรุปรวมคชจ.'!K9</f>
        <v>19500</v>
      </c>
      <c r="L8" s="11">
        <f>+'สรุปรวมคชจ.'!L9</f>
        <v>2629629.28</v>
      </c>
      <c r="M8" s="11">
        <f>+'สรุปรวมคชจ.'!M9</f>
        <v>0</v>
      </c>
      <c r="N8" s="11">
        <f aca="true" t="shared" si="0" ref="N8:N33">SUM(B8:M8)</f>
        <v>25480741.34</v>
      </c>
      <c r="O8" s="11">
        <f>+'สรุปรวมคชจ.'!Q9</f>
        <v>3549734.65</v>
      </c>
      <c r="P8" s="11">
        <f>+'สรุปรวมคชจ.'!R9</f>
        <v>12286532.76</v>
      </c>
      <c r="Q8" s="11">
        <f>+'สรุปรวมคชจ.'!S9</f>
        <v>0</v>
      </c>
      <c r="R8" s="11">
        <f>+'สรุปรวมคชจ.'!T9</f>
        <v>23441020.5</v>
      </c>
      <c r="S8" s="11">
        <f>+'สรุปรวมคชจ.'!U9</f>
        <v>2183785.33</v>
      </c>
      <c r="T8" s="11">
        <f>+'สรุปรวมคชจ.'!V9</f>
        <v>0</v>
      </c>
      <c r="U8" s="11">
        <f aca="true" t="shared" si="1" ref="U8:U33">SUM(O8:T8)</f>
        <v>41461073.239999995</v>
      </c>
      <c r="V8" s="11">
        <f>+'สรุปรวมคชจ.'!Z9</f>
        <v>350000</v>
      </c>
      <c r="W8" s="11">
        <f>+'สรุปรวมคชจ.'!AA9</f>
        <v>3134628</v>
      </c>
      <c r="X8" s="11">
        <f>+'สรุปรวมคชจ.'!AB9</f>
        <v>0</v>
      </c>
      <c r="Y8" s="11">
        <f aca="true" t="shared" si="2" ref="Y8:Y33">SUM(V8:X8)</f>
        <v>3484628</v>
      </c>
      <c r="Z8" s="11">
        <f aca="true" t="shared" si="3" ref="Z8:Z32">+N8+U8+Y8</f>
        <v>70426442.58</v>
      </c>
      <c r="AA8" s="20">
        <v>3275.81</v>
      </c>
      <c r="AB8" s="1">
        <f>AB6*AA8/AA24</f>
        <v>86611951.60270761</v>
      </c>
      <c r="AC8" s="1">
        <f>AC6*AB8/AB24</f>
        <v>39344944.81466665</v>
      </c>
      <c r="AD8" s="1">
        <f>AD6*AC8/AC24</f>
        <v>7466981.795620621</v>
      </c>
      <c r="AE8" s="20">
        <f>+N8+AB8</f>
        <v>112092692.94270761</v>
      </c>
      <c r="AF8" s="1">
        <f aca="true" t="shared" si="4" ref="AF8:AF24">+U8+AC8</f>
        <v>80806018.05466664</v>
      </c>
      <c r="AG8" s="1">
        <f>+Y8+AD8</f>
        <v>10951609.79562062</v>
      </c>
      <c r="AH8" s="1">
        <f aca="true" t="shared" si="5" ref="AH8:AH21">+AE8+AF8+AG8</f>
        <v>203850320.79299486</v>
      </c>
    </row>
    <row r="9" spans="1:34" ht="18.75">
      <c r="A9" s="13" t="s">
        <v>9</v>
      </c>
      <c r="B9" s="11">
        <f>+'สรุปรวมคชจ.'!B10</f>
        <v>29279800</v>
      </c>
      <c r="C9" s="11">
        <f>+'สรุปรวมคชจ.'!C10</f>
        <v>4492879.03</v>
      </c>
      <c r="D9" s="11">
        <f>+'สรุปรวมคชจ.'!D10</f>
        <v>1015019.3</v>
      </c>
      <c r="E9" s="11">
        <f>+'สรุปรวมคชจ.'!E10</f>
        <v>0</v>
      </c>
      <c r="F9" s="11">
        <f>+'สรุปรวมคชจ.'!F10</f>
        <v>0</v>
      </c>
      <c r="G9" s="11">
        <f>+'สรุปรวมคชจ.'!G10</f>
        <v>0</v>
      </c>
      <c r="H9" s="11">
        <f>+'สรุปรวมคชจ.'!H10</f>
        <v>0</v>
      </c>
      <c r="I9" s="11">
        <f>+'สรุปรวมคชจ.'!I10</f>
        <v>0</v>
      </c>
      <c r="J9" s="11">
        <f>+'สรุปรวมคชจ.'!J10</f>
        <v>0</v>
      </c>
      <c r="K9" s="11">
        <f>+'สรุปรวมคชจ.'!K10</f>
        <v>0</v>
      </c>
      <c r="L9" s="11">
        <f>+'สรุปรวมคชจ.'!L10</f>
        <v>3895180</v>
      </c>
      <c r="M9" s="11">
        <f>+'สรุปรวมคชจ.'!M10</f>
        <v>0</v>
      </c>
      <c r="N9" s="11">
        <f t="shared" si="0"/>
        <v>38682878.33</v>
      </c>
      <c r="O9" s="11">
        <f>+'สรุปรวมคชจ.'!Q10</f>
        <v>6537573.74</v>
      </c>
      <c r="P9" s="11">
        <f>+'สรุปรวมคชจ.'!R10</f>
        <v>5458880.21</v>
      </c>
      <c r="Q9" s="11">
        <f>+'สรุปรวมคชจ.'!S10</f>
        <v>0</v>
      </c>
      <c r="R9" s="11">
        <f>+'สรุปรวมคชจ.'!T10</f>
        <v>14067708.33</v>
      </c>
      <c r="S9" s="11">
        <f>+'สรุปรวมคชจ.'!U10</f>
        <v>3010423.52</v>
      </c>
      <c r="T9" s="11">
        <f>+'สรุปรวมคชจ.'!V10</f>
        <v>0</v>
      </c>
      <c r="U9" s="11">
        <f t="shared" si="1"/>
        <v>29074585.8</v>
      </c>
      <c r="V9" s="11">
        <f>+'สรุปรวมคชจ.'!Z10</f>
        <v>151640</v>
      </c>
      <c r="W9" s="11">
        <f>+'สรุปรวมคชจ.'!AA10</f>
        <v>2653230.5</v>
      </c>
      <c r="X9" s="11">
        <f>+'สรุปรวมคชจ.'!AB10</f>
        <v>0</v>
      </c>
      <c r="Y9" s="11">
        <f t="shared" si="2"/>
        <v>2804870.5</v>
      </c>
      <c r="Z9" s="11">
        <f t="shared" si="3"/>
        <v>70562334.63</v>
      </c>
      <c r="AA9" s="20">
        <v>1567.66</v>
      </c>
      <c r="AB9" s="1">
        <f>AB6*AA9/AA24</f>
        <v>41448707.96825842</v>
      </c>
      <c r="AC9" s="1">
        <f>AC6*AB9/AB24</f>
        <v>18828777.062210668</v>
      </c>
      <c r="AD9" s="1">
        <f>AD6*AC9/AC24</f>
        <v>3573372.290127518</v>
      </c>
      <c r="AE9" s="20">
        <f>+N9+AB9</f>
        <v>80131586.29825842</v>
      </c>
      <c r="AF9" s="1">
        <f t="shared" si="4"/>
        <v>47903362.86221067</v>
      </c>
      <c r="AG9" s="1">
        <f aca="true" t="shared" si="6" ref="AG9:AG21">+Y9+AD9</f>
        <v>6378242.790127518</v>
      </c>
      <c r="AH9" s="1">
        <f t="shared" si="5"/>
        <v>134413191.9505966</v>
      </c>
    </row>
    <row r="10" spans="1:34" ht="18.75">
      <c r="A10" s="13" t="s">
        <v>10</v>
      </c>
      <c r="B10" s="11">
        <f>+'สรุปรวมคชจ.'!B11</f>
        <v>15591894.39</v>
      </c>
      <c r="C10" s="11">
        <f>+'สรุปรวมคชจ.'!C11</f>
        <v>853920</v>
      </c>
      <c r="D10" s="11">
        <f>+'สรุปรวมคชจ.'!D11</f>
        <v>360047.41000000003</v>
      </c>
      <c r="E10" s="11">
        <f>+'สรุปรวมคชจ.'!E11</f>
        <v>0</v>
      </c>
      <c r="F10" s="11">
        <f>+'สรุปรวมคชจ.'!F11</f>
        <v>0</v>
      </c>
      <c r="G10" s="11">
        <f>+'สรุปรวมคชจ.'!G11</f>
        <v>0</v>
      </c>
      <c r="H10" s="11">
        <f>+'สรุปรวมคชจ.'!H11</f>
        <v>0</v>
      </c>
      <c r="I10" s="11">
        <f>+'สรุปรวมคชจ.'!I11</f>
        <v>0</v>
      </c>
      <c r="J10" s="11">
        <f>+'สรุปรวมคชจ.'!J11</f>
        <v>0</v>
      </c>
      <c r="K10" s="11">
        <f>+'สรุปรวมคชจ.'!K11</f>
        <v>0</v>
      </c>
      <c r="L10" s="11">
        <f>+'สรุปรวมคชจ.'!L11</f>
        <v>593160</v>
      </c>
      <c r="M10" s="11">
        <f>+'สรุปรวมคชจ.'!M11</f>
        <v>0</v>
      </c>
      <c r="N10" s="11">
        <f t="shared" si="0"/>
        <v>17399021.8</v>
      </c>
      <c r="O10" s="11">
        <f>+'สรุปรวมคชจ.'!Q11</f>
        <v>1329898.28</v>
      </c>
      <c r="P10" s="11">
        <f>+'สรุปรวมคชจ.'!R11</f>
        <v>1656901.55</v>
      </c>
      <c r="Q10" s="11">
        <f>+'สรุปรวมคชจ.'!S11</f>
        <v>0</v>
      </c>
      <c r="R10" s="11">
        <f>+'สรุปรวมคชจ.'!T11</f>
        <v>5244245.43</v>
      </c>
      <c r="S10" s="11">
        <f>+'สรุปรวมคชจ.'!U11</f>
        <v>382778.6</v>
      </c>
      <c r="T10" s="11">
        <f>+'สรุปรวมคชจ.'!V11</f>
        <v>0</v>
      </c>
      <c r="U10" s="11">
        <f t="shared" si="1"/>
        <v>8613823.86</v>
      </c>
      <c r="V10" s="11">
        <f>+'สรุปรวมคชจ.'!Z11</f>
        <v>179000</v>
      </c>
      <c r="W10" s="11">
        <f>+'สรุปรวมคชจ.'!AA11</f>
        <v>856081</v>
      </c>
      <c r="X10" s="11">
        <f>+'สรุปรวมคชจ.'!AB11</f>
        <v>0</v>
      </c>
      <c r="Y10" s="11">
        <f t="shared" si="2"/>
        <v>1035081</v>
      </c>
      <c r="Z10" s="11">
        <f t="shared" si="3"/>
        <v>27047926.66</v>
      </c>
      <c r="AA10" s="20">
        <v>556.08</v>
      </c>
      <c r="AB10" s="1">
        <f>AB6*AA10/AA24</f>
        <v>14702676.299063027</v>
      </c>
      <c r="AC10" s="1">
        <f>AC6*AB10/AB24</f>
        <v>6678939.5332879005</v>
      </c>
      <c r="AD10" s="1">
        <f>AD6*AC10/AC24</f>
        <v>1267545.809100258</v>
      </c>
      <c r="AE10" s="20">
        <f aca="true" t="shared" si="7" ref="AE10:AE24">+N10+AB10</f>
        <v>32101698.099063028</v>
      </c>
      <c r="AF10" s="1">
        <f t="shared" si="4"/>
        <v>15292763.3932879</v>
      </c>
      <c r="AG10" s="1">
        <f t="shared" si="6"/>
        <v>2302626.809100258</v>
      </c>
      <c r="AH10" s="1">
        <f t="shared" si="5"/>
        <v>49697088.301451184</v>
      </c>
    </row>
    <row r="11" spans="1:34" ht="18.75">
      <c r="A11" s="13" t="s">
        <v>11</v>
      </c>
      <c r="B11" s="11">
        <f>+'สรุปรวมคชจ.'!B12</f>
        <v>17668954.99</v>
      </c>
      <c r="C11" s="11">
        <f>+'สรุปรวมคชจ.'!C12</f>
        <v>2273328.61</v>
      </c>
      <c r="D11" s="11">
        <f>+'สรุปรวมคชจ.'!D12</f>
        <v>525962.66</v>
      </c>
      <c r="E11" s="11">
        <f>+'สรุปรวมคชจ.'!E12</f>
        <v>0</v>
      </c>
      <c r="F11" s="11">
        <f>+'สรุปรวมคชจ.'!F12</f>
        <v>0</v>
      </c>
      <c r="G11" s="11">
        <f>+'สรุปรวมคชจ.'!G12</f>
        <v>0</v>
      </c>
      <c r="H11" s="11">
        <f>+'สรุปรวมคชจ.'!H12</f>
        <v>0</v>
      </c>
      <c r="I11" s="11">
        <f>+'สรุปรวมคชจ.'!I12</f>
        <v>0</v>
      </c>
      <c r="J11" s="11">
        <f>+'สรุปรวมคชจ.'!J12</f>
        <v>0</v>
      </c>
      <c r="K11" s="11">
        <f>+'สรุปรวมคชจ.'!K12</f>
        <v>0</v>
      </c>
      <c r="L11" s="11">
        <f>+'สรุปรวมคชจ.'!L12</f>
        <v>792681</v>
      </c>
      <c r="M11" s="11">
        <f>+'สรุปรวมคชจ.'!M12</f>
        <v>0</v>
      </c>
      <c r="N11" s="11">
        <f t="shared" si="0"/>
        <v>21260927.259999998</v>
      </c>
      <c r="O11" s="11">
        <f>+'สรุปรวมคชจ.'!Q12</f>
        <v>2476481.86</v>
      </c>
      <c r="P11" s="11">
        <f>+'สรุปรวมคชจ.'!R12</f>
        <v>2529647.61</v>
      </c>
      <c r="Q11" s="11">
        <f>+'สรุปรวมคชจ.'!S12</f>
        <v>0</v>
      </c>
      <c r="R11" s="11">
        <f>+'สรุปรวมคชจ.'!T12</f>
        <v>13166910.65</v>
      </c>
      <c r="S11" s="11">
        <f>+'สรุปรวมคชจ.'!U12</f>
        <v>2511169.78</v>
      </c>
      <c r="T11" s="11">
        <f>+'สรุปรวมคชจ.'!V12</f>
        <v>0</v>
      </c>
      <c r="U11" s="11">
        <f t="shared" si="1"/>
        <v>20684209.900000002</v>
      </c>
      <c r="V11" s="11">
        <f>+'สรุปรวมคชจ.'!Z12</f>
        <v>211450</v>
      </c>
      <c r="W11" s="11">
        <f>+'สรุปรวมคชจ.'!AA12</f>
        <v>1341398</v>
      </c>
      <c r="X11" s="11">
        <f>+'สรุปรวมคชจ.'!AB12</f>
        <v>0</v>
      </c>
      <c r="Y11" s="11">
        <f t="shared" si="2"/>
        <v>1552848</v>
      </c>
      <c r="Z11" s="11">
        <f t="shared" si="3"/>
        <v>43497985.16</v>
      </c>
      <c r="AA11" s="20">
        <v>812.33</v>
      </c>
      <c r="AB11" s="1">
        <f>AB6*AA11/AA24</f>
        <v>21477889.94032849</v>
      </c>
      <c r="AC11" s="1">
        <f>AC6*AB11/AB24</f>
        <v>9756694.991864046</v>
      </c>
      <c r="AD11" s="1">
        <f>AD6*AC11/AC24</f>
        <v>1851649.9192677534</v>
      </c>
      <c r="AE11" s="20">
        <f>+N11+AB11</f>
        <v>42738817.200328484</v>
      </c>
      <c r="AF11" s="1">
        <f t="shared" si="4"/>
        <v>30440904.891864046</v>
      </c>
      <c r="AG11" s="1">
        <f t="shared" si="6"/>
        <v>3404497.919267753</v>
      </c>
      <c r="AH11" s="1">
        <f t="shared" si="5"/>
        <v>76584220.01146029</v>
      </c>
    </row>
    <row r="12" spans="1:34" ht="18.75">
      <c r="A12" s="13" t="s">
        <v>12</v>
      </c>
      <c r="B12" s="11">
        <f>+'สรุปรวมคชจ.'!B13</f>
        <v>15325657.2</v>
      </c>
      <c r="C12" s="11">
        <f>+'สรุปรวมคชจ.'!C13</f>
        <v>1499824.13</v>
      </c>
      <c r="D12" s="11">
        <f>+'สรุปรวมคชจ.'!D13</f>
        <v>202154.37</v>
      </c>
      <c r="E12" s="11">
        <f>+'สรุปรวมคชจ.'!E13</f>
        <v>0</v>
      </c>
      <c r="F12" s="11">
        <f>+'สรุปรวมคชจ.'!F13</f>
        <v>0</v>
      </c>
      <c r="G12" s="11">
        <f>+'สรุปรวมคชจ.'!G13</f>
        <v>0</v>
      </c>
      <c r="H12" s="11">
        <f>+'สรุปรวมคชจ.'!H13</f>
        <v>0</v>
      </c>
      <c r="I12" s="11">
        <f>+'สรุปรวมคชจ.'!I13</f>
        <v>0</v>
      </c>
      <c r="J12" s="11">
        <f>+'สรุปรวมคชจ.'!J13</f>
        <v>0</v>
      </c>
      <c r="K12" s="11">
        <f>+'สรุปรวมคชจ.'!K13</f>
        <v>0</v>
      </c>
      <c r="L12" s="11">
        <f>+'สรุปรวมคชจ.'!L13</f>
        <v>569150</v>
      </c>
      <c r="M12" s="11">
        <f>+'สรุปรวมคชจ.'!M13</f>
        <v>0</v>
      </c>
      <c r="N12" s="11">
        <f t="shared" si="0"/>
        <v>17596785.7</v>
      </c>
      <c r="O12" s="11">
        <f>+'สรุปรวมคชจ.'!Q13</f>
        <v>2313704.07</v>
      </c>
      <c r="P12" s="11">
        <f>+'สรุปรวมคชจ.'!R13</f>
        <v>1701884.87</v>
      </c>
      <c r="Q12" s="11">
        <f>+'สรุปรวมคชจ.'!S13</f>
        <v>0</v>
      </c>
      <c r="R12" s="11">
        <f>+'สรุปรวมคชจ.'!T13</f>
        <v>8534052.47</v>
      </c>
      <c r="S12" s="11">
        <f>+'สรุปรวมคชจ.'!U13</f>
        <v>1190009.04</v>
      </c>
      <c r="T12" s="11">
        <f>+'สรุปรวมคชจ.'!V13</f>
        <v>0</v>
      </c>
      <c r="U12" s="11">
        <f t="shared" si="1"/>
        <v>13739650.45</v>
      </c>
      <c r="V12" s="11">
        <f>+'สรุปรวมคชจ.'!Z13</f>
        <v>738700</v>
      </c>
      <c r="W12" s="11">
        <f>+'สรุปรวมคชจ.'!AA13</f>
        <v>389660</v>
      </c>
      <c r="X12" s="11">
        <f>+'สรุปรวมคชจ.'!AB13</f>
        <v>0</v>
      </c>
      <c r="Y12" s="11">
        <f t="shared" si="2"/>
        <v>1128360</v>
      </c>
      <c r="Z12" s="11">
        <f t="shared" si="3"/>
        <v>32464796.15</v>
      </c>
      <c r="AA12" s="20">
        <v>312.22</v>
      </c>
      <c r="AB12" s="1">
        <f>AB6*AA12/AA24</f>
        <v>8255052.4998084055</v>
      </c>
      <c r="AC12" s="1">
        <f>AC6*AB12/AB24</f>
        <v>3749997.304494224</v>
      </c>
      <c r="AD12" s="1">
        <f>AD6*AC12/AC24</f>
        <v>711683.8449814459</v>
      </c>
      <c r="AE12" s="20">
        <f t="shared" si="7"/>
        <v>25851838.199808404</v>
      </c>
      <c r="AF12" s="1">
        <f t="shared" si="4"/>
        <v>17489647.754494224</v>
      </c>
      <c r="AG12" s="1">
        <f t="shared" si="6"/>
        <v>1840043.844981446</v>
      </c>
      <c r="AH12" s="1">
        <f t="shared" si="5"/>
        <v>45181529.79928407</v>
      </c>
    </row>
    <row r="13" spans="1:34" ht="18.75">
      <c r="A13" s="13" t="s">
        <v>13</v>
      </c>
      <c r="B13" s="11">
        <f>+'สรุปรวมคชจ.'!B14</f>
        <v>0</v>
      </c>
      <c r="C13" s="11">
        <f>+'สรุปรวมคชจ.'!C14</f>
        <v>0</v>
      </c>
      <c r="D13" s="11">
        <f>+'สรุปรวมคชจ.'!D14</f>
        <v>5793.82</v>
      </c>
      <c r="E13" s="11">
        <f>+'สรุปรวมคชจ.'!E14</f>
        <v>0</v>
      </c>
      <c r="F13" s="11">
        <f>+'สรุปรวมคชจ.'!F14</f>
        <v>0</v>
      </c>
      <c r="G13" s="11">
        <f>+'สรุปรวมคชจ.'!G14</f>
        <v>0</v>
      </c>
      <c r="H13" s="11">
        <f>+'สรุปรวมคชจ.'!H14</f>
        <v>52671</v>
      </c>
      <c r="I13" s="11">
        <f>+'สรุปรวมคชจ.'!I14</f>
        <v>0</v>
      </c>
      <c r="J13" s="11">
        <f>+'สรุปรวมคชจ.'!J14</f>
        <v>0</v>
      </c>
      <c r="K13" s="11">
        <f>+'สรุปรวมคชจ.'!K14</f>
        <v>0</v>
      </c>
      <c r="L13" s="11">
        <f>+'สรุปรวมคชจ.'!L14</f>
        <v>0</v>
      </c>
      <c r="M13" s="11">
        <f>+'สรุปรวมคชจ.'!M14</f>
        <v>0</v>
      </c>
      <c r="N13" s="11">
        <f t="shared" si="0"/>
        <v>58464.82</v>
      </c>
      <c r="O13" s="11">
        <f>+'สรุปรวมคชจ.'!Q14</f>
        <v>247328.72</v>
      </c>
      <c r="P13" s="11">
        <f>+'สรุปรวมคชจ.'!R14</f>
        <v>49994</v>
      </c>
      <c r="Q13" s="11">
        <f>+'สรุปรวมคชจ.'!S14</f>
        <v>0</v>
      </c>
      <c r="R13" s="11">
        <f>+'สรุปรวมคชจ.'!T14</f>
        <v>836884.1799999999</v>
      </c>
      <c r="S13" s="11">
        <f>+'สรุปรวมคชจ.'!U14</f>
        <v>426298.52999999997</v>
      </c>
      <c r="T13" s="11">
        <f>+'สรุปรวมคชจ.'!V14</f>
        <v>0</v>
      </c>
      <c r="U13" s="11">
        <f t="shared" si="1"/>
        <v>1560505.43</v>
      </c>
      <c r="V13" s="11">
        <f>+'สรุปรวมคชจ.'!Z14</f>
        <v>0</v>
      </c>
      <c r="W13" s="11">
        <f>+'สรุปรวมคชจ.'!AA14</f>
        <v>289400</v>
      </c>
      <c r="X13" s="11">
        <f>+'สรุปรวมคชจ.'!AB14</f>
        <v>0</v>
      </c>
      <c r="Y13" s="11">
        <f t="shared" si="2"/>
        <v>289400</v>
      </c>
      <c r="Z13" s="11">
        <f t="shared" si="3"/>
        <v>1908370.25</v>
      </c>
      <c r="AA13" s="20">
        <v>9.67</v>
      </c>
      <c r="AB13" s="1">
        <f>AB6*AA13/AA24</f>
        <v>255673.42794551046</v>
      </c>
      <c r="AC13" s="1">
        <f>AC6*AB13/AB24</f>
        <v>116143.98159778088</v>
      </c>
      <c r="AD13" s="1">
        <f>AD6*AC13/AC24</f>
        <v>22042.094615881695</v>
      </c>
      <c r="AE13" s="20">
        <f t="shared" si="7"/>
        <v>314138.24794551043</v>
      </c>
      <c r="AF13" s="1">
        <f t="shared" si="4"/>
        <v>1676649.4115977809</v>
      </c>
      <c r="AG13" s="1">
        <f t="shared" si="6"/>
        <v>311442.0946158817</v>
      </c>
      <c r="AH13" s="1">
        <f t="shared" si="5"/>
        <v>2302229.754159173</v>
      </c>
    </row>
    <row r="14" spans="1:34" ht="21">
      <c r="A14" s="7" t="s">
        <v>14</v>
      </c>
      <c r="B14" s="11">
        <f>+'สรุปรวมคชจ.'!B15</f>
        <v>33785737.44</v>
      </c>
      <c r="C14" s="11">
        <f>+'สรุปรวมคชจ.'!C15</f>
        <v>3155767.02</v>
      </c>
      <c r="D14" s="11">
        <f>+'สรุปรวมคชจ.'!D15</f>
        <v>403781.61</v>
      </c>
      <c r="E14" s="11">
        <f>+'สรุปรวมคชจ.'!E15</f>
        <v>0</v>
      </c>
      <c r="F14" s="11">
        <f>+'สรุปรวมคชจ.'!F15</f>
        <v>0</v>
      </c>
      <c r="G14" s="11">
        <f>+'สรุปรวมคชจ.'!G15</f>
        <v>0</v>
      </c>
      <c r="H14" s="11">
        <f>+'สรุปรวมคชจ.'!H15</f>
        <v>0</v>
      </c>
      <c r="I14" s="11">
        <f>+'สรุปรวมคชจ.'!I15</f>
        <v>19376</v>
      </c>
      <c r="J14" s="11">
        <f>+'สรุปรวมคชจ.'!J15</f>
        <v>0</v>
      </c>
      <c r="K14" s="11">
        <f>+'สรุปรวมคชจ.'!K15</f>
        <v>2244584.2</v>
      </c>
      <c r="L14" s="11">
        <f>+'สรุปรวมคชจ.'!L15</f>
        <v>1256532</v>
      </c>
      <c r="M14" s="11">
        <f>+'สรุปรวมคชจ.'!M15</f>
        <v>0</v>
      </c>
      <c r="N14" s="11">
        <f t="shared" si="0"/>
        <v>40865778.27</v>
      </c>
      <c r="O14" s="11">
        <f>+'สรุปรวมคชจ.'!Q15</f>
        <v>1429352.59</v>
      </c>
      <c r="P14" s="11">
        <f>+'สรุปรวมคชจ.'!R15</f>
        <v>460979.11</v>
      </c>
      <c r="Q14" s="11">
        <f>+'สรุปรวมคชจ.'!S15</f>
        <v>0</v>
      </c>
      <c r="R14" s="11">
        <f>+'สรุปรวมคชจ.'!T15</f>
        <v>5683462.84</v>
      </c>
      <c r="S14" s="11">
        <f>+'สรุปรวมคชจ.'!U15</f>
        <v>1470416</v>
      </c>
      <c r="T14" s="11">
        <f>+'สรุปรวมคชจ.'!V15</f>
        <v>0</v>
      </c>
      <c r="U14" s="11">
        <f t="shared" si="1"/>
        <v>9044210.54</v>
      </c>
      <c r="V14" s="11">
        <f>+'สรุปรวมคชจ.'!Z15</f>
        <v>20000</v>
      </c>
      <c r="W14" s="11">
        <f>+'สรุปรวมคชจ.'!AA15</f>
        <v>0</v>
      </c>
      <c r="X14" s="11">
        <f>+'สรุปรวมคชจ.'!AB15</f>
        <v>0</v>
      </c>
      <c r="Y14" s="11">
        <f t="shared" si="2"/>
        <v>20000</v>
      </c>
      <c r="Z14" s="11">
        <f t="shared" si="3"/>
        <v>49929988.81</v>
      </c>
      <c r="AA14" s="20">
        <v>673.92</v>
      </c>
      <c r="AB14" s="1">
        <f>AB6*AA14/AA24</f>
        <v>17818349.17901121</v>
      </c>
      <c r="AC14" s="1">
        <f>AC6*AB14/AB24</f>
        <v>8094286.667877609</v>
      </c>
      <c r="AD14" s="1">
        <f>AD6*AC14/AC24</f>
        <v>1536153.9197037218</v>
      </c>
      <c r="AE14" s="20">
        <f t="shared" si="7"/>
        <v>58684127.449011214</v>
      </c>
      <c r="AF14" s="1">
        <f t="shared" si="4"/>
        <v>17138497.207877606</v>
      </c>
      <c r="AG14" s="1">
        <f t="shared" si="6"/>
        <v>1556153.9197037218</v>
      </c>
      <c r="AH14" s="1">
        <f t="shared" si="5"/>
        <v>77378778.57659253</v>
      </c>
    </row>
    <row r="15" spans="1:34" ht="18.75">
      <c r="A15" s="13" t="s">
        <v>15</v>
      </c>
      <c r="B15" s="11">
        <f>+'สรุปรวมคชจ.'!B16</f>
        <v>16382158.059999999</v>
      </c>
      <c r="C15" s="11">
        <f>+'สรุปรวมคชจ.'!C16</f>
        <v>510270.44</v>
      </c>
      <c r="D15" s="11">
        <f>+'สรุปรวมคชจ.'!D16</f>
        <v>74762.39</v>
      </c>
      <c r="E15" s="11">
        <f>+'สรุปรวมคชจ.'!E16</f>
        <v>0</v>
      </c>
      <c r="F15" s="11">
        <f>+'สรุปรวมคชจ.'!F16</f>
        <v>355143</v>
      </c>
      <c r="G15" s="11">
        <f>+'สรุปรวมคชจ.'!G16</f>
        <v>0</v>
      </c>
      <c r="H15" s="11">
        <f>+'สรุปรวมคชจ.'!H16</f>
        <v>90864.12</v>
      </c>
      <c r="I15" s="11">
        <f>+'สรุปรวมคชจ.'!I16</f>
        <v>17994</v>
      </c>
      <c r="J15" s="11">
        <f>+'สรุปรวมคชจ.'!J16</f>
        <v>0</v>
      </c>
      <c r="K15" s="11">
        <f>+'สรุปรวมคชจ.'!K16</f>
        <v>0</v>
      </c>
      <c r="L15" s="11">
        <f>+'สรุปรวมคชจ.'!L16</f>
        <v>0</v>
      </c>
      <c r="M15" s="11">
        <f>+'สรุปรวมคชจ.'!M16</f>
        <v>0</v>
      </c>
      <c r="N15" s="11">
        <f t="shared" si="0"/>
        <v>17431192.01</v>
      </c>
      <c r="O15" s="11">
        <f>+'สรุปรวมคชจ.'!Q16</f>
        <v>1194253.06</v>
      </c>
      <c r="P15" s="11">
        <f>+'สรุปรวมคชจ.'!R16</f>
        <v>462983.4</v>
      </c>
      <c r="Q15" s="11">
        <f>+'สรุปรวมคชจ.'!S16</f>
        <v>0</v>
      </c>
      <c r="R15" s="11">
        <f>+'สรุปรวมคชจ.'!T16</f>
        <v>8319122.83</v>
      </c>
      <c r="S15" s="11">
        <f>+'สรุปรวมคชจ.'!U16</f>
        <v>890780.61</v>
      </c>
      <c r="T15" s="11">
        <f>+'สรุปรวมคชจ.'!V16</f>
        <v>0</v>
      </c>
      <c r="U15" s="11">
        <f t="shared" si="1"/>
        <v>10867139.899999999</v>
      </c>
      <c r="V15" s="11">
        <f>+'สรุปรวมคชจ.'!Z16</f>
        <v>0</v>
      </c>
      <c r="W15" s="11">
        <f>+'สรุปรวมคชจ.'!AA16</f>
        <v>288437</v>
      </c>
      <c r="X15" s="11">
        <f>+'สรุปรวมคชจ.'!AB16</f>
        <v>0</v>
      </c>
      <c r="Y15" s="11">
        <f t="shared" si="2"/>
        <v>288437</v>
      </c>
      <c r="Z15" s="11">
        <f t="shared" si="3"/>
        <v>28586768.91</v>
      </c>
      <c r="AA15" s="20">
        <v>124.78</v>
      </c>
      <c r="AB15" s="1">
        <f>AB6*AA15/AA24</f>
        <v>3299165.4952472383</v>
      </c>
      <c r="AC15" s="1">
        <f>AC6*AB15/AB24</f>
        <v>1498701.760472709</v>
      </c>
      <c r="AD15" s="1">
        <f>AD6*AC15/AC24</f>
        <v>284427.35947980534</v>
      </c>
      <c r="AE15" s="20">
        <f t="shared" si="7"/>
        <v>20730357.50524724</v>
      </c>
      <c r="AF15" s="1">
        <f t="shared" si="4"/>
        <v>12365841.660472708</v>
      </c>
      <c r="AG15" s="1">
        <f t="shared" si="6"/>
        <v>572864.3594798053</v>
      </c>
      <c r="AH15" s="1">
        <f t="shared" si="5"/>
        <v>33669063.525199756</v>
      </c>
    </row>
    <row r="16" spans="1:34" ht="21">
      <c r="A16" s="7" t="s">
        <v>16</v>
      </c>
      <c r="B16" s="11">
        <f>+'สรุปรวมคชจ.'!B17</f>
        <v>0</v>
      </c>
      <c r="C16" s="11">
        <f>+'สรุปรวมคชจ.'!C17</f>
        <v>2274000.16</v>
      </c>
      <c r="D16" s="11">
        <f>+'สรุปรวมคชจ.'!D17</f>
        <v>341769.21</v>
      </c>
      <c r="E16" s="11">
        <f>+'สรุปรวมคชจ.'!E17</f>
        <v>0</v>
      </c>
      <c r="F16" s="11">
        <f>+'สรุปรวมคชจ.'!F17</f>
        <v>21474</v>
      </c>
      <c r="G16" s="11">
        <f>+'สรุปรวมคชจ.'!G17</f>
        <v>0</v>
      </c>
      <c r="H16" s="11">
        <f>+'สรุปรวมคชจ.'!H17</f>
        <v>0</v>
      </c>
      <c r="I16" s="11">
        <f>+'สรุปรวมคชจ.'!I17</f>
        <v>54609</v>
      </c>
      <c r="J16" s="11">
        <f>+'สรุปรวมคชจ.'!J17</f>
        <v>0</v>
      </c>
      <c r="K16" s="11">
        <f>+'สรุปรวมคชจ.'!K17</f>
        <v>536436</v>
      </c>
      <c r="L16" s="11">
        <f>+'สรุปรวมคชจ.'!L17</f>
        <v>908948</v>
      </c>
      <c r="M16" s="11">
        <f>+'สรุปรวมคชจ.'!M17</f>
        <v>0</v>
      </c>
      <c r="N16" s="11">
        <f t="shared" si="0"/>
        <v>4137236.37</v>
      </c>
      <c r="O16" s="11">
        <f>+'สรุปรวมคชจ.'!Q17</f>
        <v>577236</v>
      </c>
      <c r="P16" s="11">
        <f>+'สรุปรวมคชจ.'!R17</f>
        <v>1605070.5</v>
      </c>
      <c r="Q16" s="11">
        <f>+'สรุปรวมคชจ.'!S17</f>
        <v>0</v>
      </c>
      <c r="R16" s="11">
        <f>+'สรุปรวมคชจ.'!T17</f>
        <v>1427940.12</v>
      </c>
      <c r="S16" s="11">
        <f>+'สรุปรวมคชจ.'!U17</f>
        <v>856556.24</v>
      </c>
      <c r="T16" s="11">
        <f>+'สรุปรวมคชจ.'!V17</f>
        <v>0</v>
      </c>
      <c r="U16" s="11">
        <f t="shared" si="1"/>
        <v>4466802.86</v>
      </c>
      <c r="V16" s="11">
        <f>+'สรุปรวมคชจ.'!Z17</f>
        <v>60000</v>
      </c>
      <c r="W16" s="11">
        <f>+'สรุปรวมคชจ.'!AA17</f>
        <v>0</v>
      </c>
      <c r="X16" s="11">
        <f>+'สรุปรวมคชจ.'!AB17</f>
        <v>0</v>
      </c>
      <c r="Y16" s="11">
        <f t="shared" si="2"/>
        <v>60000</v>
      </c>
      <c r="Z16" s="11">
        <f t="shared" si="3"/>
        <v>8664039.23</v>
      </c>
      <c r="AA16" s="20">
        <v>570.42</v>
      </c>
      <c r="AB16" s="1">
        <f>AB6*AA16/AA24</f>
        <v>15081823.864392769</v>
      </c>
      <c r="AC16" s="1">
        <f>AC6*AB16/AB24</f>
        <v>6851173.731438073</v>
      </c>
      <c r="AD16" s="1">
        <f>AD6*AC16/AC24</f>
        <v>1300232.8449628993</v>
      </c>
      <c r="AE16" s="20">
        <f>+N16+AB16</f>
        <v>19219060.23439277</v>
      </c>
      <c r="AF16" s="1">
        <f t="shared" si="4"/>
        <v>11317976.591438074</v>
      </c>
      <c r="AG16" s="1">
        <f t="shared" si="6"/>
        <v>1360232.8449628993</v>
      </c>
      <c r="AH16" s="1">
        <f t="shared" si="5"/>
        <v>31897269.670793742</v>
      </c>
    </row>
    <row r="17" spans="1:34" ht="18.75">
      <c r="A17" s="13" t="s">
        <v>17</v>
      </c>
      <c r="B17" s="11">
        <f>+'สรุปรวมคชจ.'!B18</f>
        <v>5582164.28</v>
      </c>
      <c r="C17" s="11">
        <f>+'สรุปรวมคชจ.'!C18</f>
        <v>358290.57</v>
      </c>
      <c r="D17" s="11">
        <f>+'สรุปรวมคชจ.'!D18</f>
        <v>58603.22</v>
      </c>
      <c r="E17" s="11">
        <f>+'สรุปรวมคชจ.'!E18</f>
        <v>0</v>
      </c>
      <c r="F17" s="11">
        <f>+'สรุปรวมคชจ.'!F18</f>
        <v>56400</v>
      </c>
      <c r="G17" s="11">
        <f>+'สรุปรวมคชจ.'!G18</f>
        <v>0</v>
      </c>
      <c r="H17" s="11">
        <f>+'สรุปรวมคชจ.'!H18</f>
        <v>16676</v>
      </c>
      <c r="I17" s="11">
        <f>+'สรุปรวมคชจ.'!I18</f>
        <v>11640</v>
      </c>
      <c r="J17" s="11">
        <f>+'สรุปรวมคชจ.'!J18</f>
        <v>0</v>
      </c>
      <c r="K17" s="11">
        <f>+'สรุปรวมคชจ.'!K18</f>
        <v>0</v>
      </c>
      <c r="L17" s="11">
        <f>+'สรุปรวมคชจ.'!L18</f>
        <v>0</v>
      </c>
      <c r="M17" s="11">
        <f>+'สรุปรวมคชจ.'!M18</f>
        <v>0</v>
      </c>
      <c r="N17" s="11">
        <f t="shared" si="0"/>
        <v>6083774.07</v>
      </c>
      <c r="O17" s="11">
        <f>+'สรุปรวมคชจ.'!Q18</f>
        <v>629811.55</v>
      </c>
      <c r="P17" s="11">
        <f>+'สรุปรวมคชจ.'!R18</f>
        <v>456661.36</v>
      </c>
      <c r="Q17" s="11">
        <f>+'สรุปรวมคชจ.'!S18</f>
        <v>0</v>
      </c>
      <c r="R17" s="11">
        <f>+'สรุปรวมคชจ.'!T18</f>
        <v>3636583.41</v>
      </c>
      <c r="S17" s="11">
        <f>+'สรุปรวมคชจ.'!U18</f>
        <v>101447.84</v>
      </c>
      <c r="T17" s="11">
        <f>+'สรุปรวมคชจ.'!V18</f>
        <v>0</v>
      </c>
      <c r="U17" s="11">
        <f t="shared" si="1"/>
        <v>4824504.16</v>
      </c>
      <c r="V17" s="11">
        <f>+'สรุปรวมคชจ.'!Z18</f>
        <v>0</v>
      </c>
      <c r="W17" s="11">
        <f>+'สรุปรวมคชจ.'!AA18</f>
        <v>313684.8</v>
      </c>
      <c r="X17" s="11">
        <f>+'สรุปรวมคชจ.'!AB18</f>
        <v>0</v>
      </c>
      <c r="Y17" s="11">
        <f t="shared" si="2"/>
        <v>313684.8</v>
      </c>
      <c r="Z17" s="11">
        <f t="shared" si="3"/>
        <v>11221963.030000001</v>
      </c>
      <c r="AA17" s="20">
        <v>97.81</v>
      </c>
      <c r="AB17" s="1">
        <f>AB6*AA17/AA24</f>
        <v>2586082.521959708</v>
      </c>
      <c r="AC17" s="1">
        <f>AC6*AB17/AB24</f>
        <v>1174771.7518178849</v>
      </c>
      <c r="AD17" s="1">
        <f>AD6*AC17/AC24</f>
        <v>222951.11420676197</v>
      </c>
      <c r="AE17" s="20">
        <f t="shared" si="7"/>
        <v>8669856.591959707</v>
      </c>
      <c r="AF17" s="1">
        <f t="shared" si="4"/>
        <v>5999275.911817885</v>
      </c>
      <c r="AG17" s="1">
        <f t="shared" si="6"/>
        <v>536635.914206762</v>
      </c>
      <c r="AH17" s="1">
        <f t="shared" si="5"/>
        <v>15205768.417984355</v>
      </c>
    </row>
    <row r="18" spans="1:34" ht="18.75">
      <c r="A18" s="13" t="s">
        <v>18</v>
      </c>
      <c r="B18" s="11">
        <f>+'สรุปรวมคชจ.'!B19</f>
        <v>21458442.6</v>
      </c>
      <c r="C18" s="11">
        <f>+'สรุปรวมคชจ.'!C19</f>
        <v>3138125.82</v>
      </c>
      <c r="D18" s="11">
        <f>+'สรุปรวมคชจ.'!D19</f>
        <v>154917.16</v>
      </c>
      <c r="E18" s="11">
        <f>+'สรุปรวมคชจ.'!E19</f>
        <v>0</v>
      </c>
      <c r="F18" s="11">
        <f>+'สรุปรวมคชจ.'!F19</f>
        <v>192400</v>
      </c>
      <c r="G18" s="11">
        <f>+'สรุปรวมคชจ.'!G19</f>
        <v>0</v>
      </c>
      <c r="H18" s="11">
        <f>+'สรุปรวมคชจ.'!H19</f>
        <v>69194.49</v>
      </c>
      <c r="I18" s="11">
        <f>+'สรุปรวมคชจ.'!I19</f>
        <v>191589.74</v>
      </c>
      <c r="J18" s="11">
        <f>+'สรุปรวมคชจ.'!J19</f>
        <v>0</v>
      </c>
      <c r="K18" s="11">
        <f>+'สรุปรวมคชจ.'!K19</f>
        <v>0</v>
      </c>
      <c r="L18" s="11">
        <f>+'สรุปรวมคชจ.'!L19</f>
        <v>0</v>
      </c>
      <c r="M18" s="11">
        <f>+'สรุปรวมคชจ.'!M19</f>
        <v>0</v>
      </c>
      <c r="N18" s="11">
        <f t="shared" si="0"/>
        <v>25204669.81</v>
      </c>
      <c r="O18" s="11">
        <f>+'สรุปรวมคชจ.'!Q19</f>
        <v>972508.17</v>
      </c>
      <c r="P18" s="11">
        <f>+'สรุปรวมคชจ.'!R19</f>
        <v>1508637.76</v>
      </c>
      <c r="Q18" s="11">
        <f>+'สรุปรวมคชจ.'!S19</f>
        <v>0</v>
      </c>
      <c r="R18" s="11">
        <f>+'สรุปรวมคชจ.'!T19</f>
        <v>12705430.05</v>
      </c>
      <c r="S18" s="11">
        <f>+'สรุปรวมคชจ.'!U19</f>
        <v>1010096.66</v>
      </c>
      <c r="T18" s="11">
        <f>+'สรุปรวมคชจ.'!V19</f>
        <v>0</v>
      </c>
      <c r="U18" s="11">
        <f t="shared" si="1"/>
        <v>16196672.64</v>
      </c>
      <c r="V18" s="11">
        <f>+'สรุปรวมคชจ.'!Z19</f>
        <v>0</v>
      </c>
      <c r="W18" s="11">
        <f>+'สรุปรวมคชจ.'!AA19</f>
        <v>1255521.8399999999</v>
      </c>
      <c r="X18" s="11">
        <f>+'สรุปรวมคชจ.'!AB19</f>
        <v>0</v>
      </c>
      <c r="Y18" s="11">
        <f t="shared" si="2"/>
        <v>1255521.8399999999</v>
      </c>
      <c r="Z18" s="11">
        <f t="shared" si="3"/>
        <v>42656864.29000001</v>
      </c>
      <c r="AA18" s="20">
        <v>258.56</v>
      </c>
      <c r="AB18" s="1">
        <f>AB6*AA18/AA24</f>
        <v>6836289.713504776</v>
      </c>
      <c r="AC18" s="1">
        <f>AC6*AB18/AB24</f>
        <v>3105500.2980271173</v>
      </c>
      <c r="AD18" s="1">
        <f>AD6*AC18/AC24</f>
        <v>589369.5950240301</v>
      </c>
      <c r="AE18" s="20">
        <f t="shared" si="7"/>
        <v>32040959.523504775</v>
      </c>
      <c r="AF18" s="1">
        <f t="shared" si="4"/>
        <v>19302172.938027117</v>
      </c>
      <c r="AG18" s="1">
        <f t="shared" si="6"/>
        <v>1844891.43502403</v>
      </c>
      <c r="AH18" s="1">
        <f t="shared" si="5"/>
        <v>53188023.89655592</v>
      </c>
    </row>
    <row r="19" spans="1:34" ht="18.75">
      <c r="A19" s="13" t="s">
        <v>19</v>
      </c>
      <c r="B19" s="11">
        <f>+'สรุปรวมคชจ.'!B20</f>
        <v>20098566.92</v>
      </c>
      <c r="C19" s="11">
        <f>+'สรุปรวมคชจ.'!C20</f>
        <v>6414134.23</v>
      </c>
      <c r="D19" s="11">
        <f>+'สรุปรวมคชจ.'!D20</f>
        <v>729493.5</v>
      </c>
      <c r="E19" s="11">
        <f>+'สรุปรวมคชจ.'!E20</f>
        <v>0</v>
      </c>
      <c r="F19" s="11">
        <f>+'สรุปรวมคชจ.'!F20</f>
        <v>0</v>
      </c>
      <c r="G19" s="11">
        <f>+'สรุปรวมคชจ.'!G20</f>
        <v>0</v>
      </c>
      <c r="H19" s="11">
        <f>+'สรุปรวมคชจ.'!H20</f>
        <v>0</v>
      </c>
      <c r="I19" s="11">
        <f>+'สรุปรวมคชจ.'!I20</f>
        <v>0</v>
      </c>
      <c r="J19" s="11">
        <f>+'สรุปรวมคชจ.'!J20</f>
        <v>0</v>
      </c>
      <c r="K19" s="11">
        <f>+'สรุปรวมคชจ.'!K20</f>
        <v>1220216.16</v>
      </c>
      <c r="L19" s="11">
        <f>+'สรุปรวมคชจ.'!L20</f>
        <v>376390</v>
      </c>
      <c r="M19" s="11">
        <f>+'สรุปรวมคชจ.'!M20</f>
        <v>0</v>
      </c>
      <c r="N19" s="11">
        <f t="shared" si="0"/>
        <v>28838800.810000002</v>
      </c>
      <c r="O19" s="11">
        <f>+'สรุปรวมคชจ.'!Q20</f>
        <v>385021.99</v>
      </c>
      <c r="P19" s="11">
        <f>+'สรุปรวมคชจ.'!R20</f>
        <v>1964208.94</v>
      </c>
      <c r="Q19" s="11">
        <f>+'สรุปรวมคชจ.'!S20</f>
        <v>0</v>
      </c>
      <c r="R19" s="11">
        <f>+'สรุปรวมคชจ.'!T20</f>
        <v>4240751.52</v>
      </c>
      <c r="S19" s="11">
        <f>+'สรุปรวมคชจ.'!U20</f>
        <v>2302467.58</v>
      </c>
      <c r="T19" s="11">
        <f>+'สรุปรวมคชจ.'!V20</f>
        <v>0</v>
      </c>
      <c r="U19" s="11">
        <f t="shared" si="1"/>
        <v>8892450.03</v>
      </c>
      <c r="V19" s="11">
        <f>+'สรุปรวมคชจ.'!Z20</f>
        <v>20000</v>
      </c>
      <c r="W19" s="11">
        <f>+'สรุปรวมคชจ.'!AA20</f>
        <v>0</v>
      </c>
      <c r="X19" s="11">
        <f>+'สรุปรวมคชจ.'!AB20</f>
        <v>0</v>
      </c>
      <c r="Y19" s="11">
        <f t="shared" si="2"/>
        <v>20000</v>
      </c>
      <c r="Z19" s="11">
        <f t="shared" si="3"/>
        <v>37751250.84</v>
      </c>
      <c r="AA19" s="20">
        <v>1217.54</v>
      </c>
      <c r="AB19" s="1">
        <f>AB6*AA19/AA24</f>
        <v>32191584.845995534</v>
      </c>
      <c r="AC19" s="1">
        <f>AC6*AB19/AB24</f>
        <v>14623572.2186724</v>
      </c>
      <c r="AD19" s="1">
        <f>AD6*AC19/AC24</f>
        <v>2775298.0226081274</v>
      </c>
      <c r="AE19" s="20">
        <f>+N19+AB19</f>
        <v>61030385.65599553</v>
      </c>
      <c r="AF19" s="1">
        <f t="shared" si="4"/>
        <v>23516022.2486724</v>
      </c>
      <c r="AG19" s="1">
        <f t="shared" si="6"/>
        <v>2795298.0226081274</v>
      </c>
      <c r="AH19" s="1">
        <f t="shared" si="5"/>
        <v>87341705.92727606</v>
      </c>
    </row>
    <row r="20" spans="1:34" ht="18.75">
      <c r="A20" s="13" t="s">
        <v>20</v>
      </c>
      <c r="B20" s="11">
        <f>+'สรุปรวมคชจ.'!B21</f>
        <v>21540739.36</v>
      </c>
      <c r="C20" s="11">
        <f>+'สรุปรวมคชจ.'!C21</f>
        <v>1615659.48</v>
      </c>
      <c r="D20" s="11">
        <f>+'สรุปรวมคชจ.'!D21</f>
        <v>357320.16000000003</v>
      </c>
      <c r="E20" s="11">
        <f>+'สรุปรวมคชจ.'!E21</f>
        <v>158375</v>
      </c>
      <c r="F20" s="11">
        <f>+'สรุปรวมคชจ.'!F21</f>
        <v>424526.64</v>
      </c>
      <c r="G20" s="11">
        <f>+'สรุปรวมคชจ.'!G21</f>
        <v>0</v>
      </c>
      <c r="H20" s="11">
        <f>+'สรุปรวมคชจ.'!H21</f>
        <v>93258</v>
      </c>
      <c r="I20" s="11">
        <f>+'สรุปรวมคชจ.'!I21</f>
        <v>15892</v>
      </c>
      <c r="J20" s="11">
        <f>+'สรุปรวมคชจ.'!J21</f>
        <v>0</v>
      </c>
      <c r="K20" s="11">
        <f>+'สรุปรวมคชจ.'!K21</f>
        <v>0</v>
      </c>
      <c r="L20" s="11">
        <f>+'สรุปรวมคชจ.'!L21</f>
        <v>1862700</v>
      </c>
      <c r="M20" s="11">
        <f>+'สรุปรวมคชจ.'!M21</f>
        <v>0</v>
      </c>
      <c r="N20" s="11">
        <f t="shared" si="0"/>
        <v>26068470.64</v>
      </c>
      <c r="O20" s="11">
        <f>+'สรุปรวมคชจ.'!Q21</f>
        <v>1548735.06</v>
      </c>
      <c r="P20" s="11">
        <f>+'สรุปรวมคชจ.'!R21</f>
        <v>473359.08</v>
      </c>
      <c r="Q20" s="11">
        <f>+'สรุปรวมคชจ.'!S21</f>
        <v>0</v>
      </c>
      <c r="R20" s="11">
        <f>+'สรุปรวมคชจ.'!T21</f>
        <v>5234329.81</v>
      </c>
      <c r="S20" s="11">
        <f>+'สรุปรวมคชจ.'!U21</f>
        <v>466495.2</v>
      </c>
      <c r="T20" s="11">
        <f>+'สรุปรวมคชจ.'!V21</f>
        <v>0</v>
      </c>
      <c r="U20" s="11">
        <f t="shared" si="1"/>
        <v>7722919.149999999</v>
      </c>
      <c r="V20" s="11">
        <f>+'สรุปรวมคชจ.'!Z21</f>
        <v>0</v>
      </c>
      <c r="W20" s="11">
        <f>+'สรุปรวมคชจ.'!AA21</f>
        <v>0</v>
      </c>
      <c r="X20" s="11">
        <f>+'สรุปรวมคชจ.'!AB21</f>
        <v>0</v>
      </c>
      <c r="Y20" s="11">
        <f t="shared" si="2"/>
        <v>0</v>
      </c>
      <c r="Z20" s="22">
        <f t="shared" si="3"/>
        <v>33791389.79</v>
      </c>
      <c r="AA20" s="20">
        <v>342.45</v>
      </c>
      <c r="AB20" s="1">
        <f>AB6*AA20/AA24</f>
        <v>9054329.410541888</v>
      </c>
      <c r="AC20" s="1">
        <f>AC6*AB20/AB24</f>
        <v>4113082.367958641</v>
      </c>
      <c r="AD20" s="60">
        <f>AD6*AC20/AC24</f>
        <v>780591.0342511568</v>
      </c>
      <c r="AE20" s="59">
        <f>+N20+AB20</f>
        <v>35122800.05054189</v>
      </c>
      <c r="AF20" s="1">
        <f t="shared" si="4"/>
        <v>11836001.517958641</v>
      </c>
      <c r="AG20" s="1">
        <f t="shared" si="6"/>
        <v>780591.0342511568</v>
      </c>
      <c r="AH20" s="1">
        <f t="shared" si="5"/>
        <v>47739392.60275169</v>
      </c>
    </row>
    <row r="21" spans="1:34" ht="18.75">
      <c r="A21" s="13" t="s">
        <v>21</v>
      </c>
      <c r="B21" s="11">
        <f>+'สรุปรวมคชจ.'!B22</f>
        <v>15879285.85</v>
      </c>
      <c r="C21" s="11">
        <f>+'สรุปรวมคชจ.'!C22</f>
        <v>2388340.98</v>
      </c>
      <c r="D21" s="11">
        <f>+'สรุปรวมคชจ.'!D22</f>
        <v>295003.61</v>
      </c>
      <c r="E21" s="11">
        <f>+'สรุปรวมคชจ.'!E22</f>
        <v>75000</v>
      </c>
      <c r="F21" s="11">
        <f>+'สรุปรวมคชจ.'!F22</f>
        <v>336077</v>
      </c>
      <c r="G21" s="11">
        <f>+'สรุปรวมคชจ.'!G22</f>
        <v>0</v>
      </c>
      <c r="H21" s="11">
        <f>+'สรุปรวมคชจ.'!H22</f>
        <v>198151.99</v>
      </c>
      <c r="I21" s="11">
        <f>+'สรุปรวมคชจ.'!I22</f>
        <v>219691.58000000002</v>
      </c>
      <c r="J21" s="11">
        <f>+'สรุปรวมคชจ.'!J22</f>
        <v>0</v>
      </c>
      <c r="K21" s="11">
        <f>+'สรุปรวมคชจ.'!K22</f>
        <v>0</v>
      </c>
      <c r="L21" s="11">
        <f>+'สรุปรวมคชจ.'!L22</f>
        <v>1454260</v>
      </c>
      <c r="M21" s="11">
        <f>+'สรุปรวมคชจ.'!M22</f>
        <v>0</v>
      </c>
      <c r="N21" s="11">
        <f t="shared" si="0"/>
        <v>20845811.009999994</v>
      </c>
      <c r="O21" s="11">
        <f>+'สรุปรวมคชจ.'!Q22</f>
        <v>743076.15</v>
      </c>
      <c r="P21" s="11">
        <f>+'สรุปรวมคชจ.'!R22</f>
        <v>919565.4</v>
      </c>
      <c r="Q21" s="11">
        <f>+'สรุปรวมคชจ.'!S22</f>
        <v>0</v>
      </c>
      <c r="R21" s="11">
        <f>+'สรุปรวมคชจ.'!T22</f>
        <v>1660947.26</v>
      </c>
      <c r="S21" s="11">
        <f>+'สรุปรวมคชจ.'!U22</f>
        <v>284166.04</v>
      </c>
      <c r="T21" s="11">
        <f>+'สรุปรวมคชจ.'!V22</f>
        <v>0</v>
      </c>
      <c r="U21" s="11">
        <f t="shared" si="1"/>
        <v>3607754.85</v>
      </c>
      <c r="V21" s="11">
        <f>+'สรุปรวมคชจ.'!Z22</f>
        <v>0</v>
      </c>
      <c r="W21" s="11">
        <f>+'สรุปรวมคชจ.'!AA22</f>
        <v>0</v>
      </c>
      <c r="X21" s="11">
        <f>+'สรุปรวมคชจ.'!AB22</f>
        <v>0</v>
      </c>
      <c r="Y21" s="11">
        <f t="shared" si="2"/>
        <v>0</v>
      </c>
      <c r="Z21" s="22">
        <f t="shared" si="3"/>
        <v>24453565.859999996</v>
      </c>
      <c r="AA21" s="20">
        <v>470.7</v>
      </c>
      <c r="AB21" s="1">
        <f>AB6*AA21/AA24</f>
        <v>12445241.213438652</v>
      </c>
      <c r="AC21" s="1">
        <f>AC6*AB21/AB24</f>
        <v>5653461.441372849</v>
      </c>
      <c r="AD21" s="60">
        <f>AD6*AC21/AC24</f>
        <v>1072928.0181691325</v>
      </c>
      <c r="AE21" s="59">
        <f>+N21+AB21</f>
        <v>33291052.223438647</v>
      </c>
      <c r="AF21" s="1">
        <f t="shared" si="4"/>
        <v>9261216.291372849</v>
      </c>
      <c r="AG21" s="1">
        <f t="shared" si="6"/>
        <v>1072928.0181691325</v>
      </c>
      <c r="AH21" s="1">
        <f t="shared" si="5"/>
        <v>43625196.53298063</v>
      </c>
    </row>
    <row r="22" spans="1:34" ht="18.75">
      <c r="A22" s="50" t="s">
        <v>213</v>
      </c>
      <c r="B22" s="11">
        <f>+'สรุปรวมคชจ.'!B23</f>
        <v>8486151.62</v>
      </c>
      <c r="C22" s="11">
        <f>+'สรุปรวมคชจ.'!C23</f>
        <v>1619768.22</v>
      </c>
      <c r="D22" s="11">
        <f>+'สรุปรวมคชจ.'!D23</f>
        <v>352380.7</v>
      </c>
      <c r="E22" s="11">
        <f>+'สรุปรวมคชจ.'!E23</f>
        <v>79360</v>
      </c>
      <c r="F22" s="11">
        <f>+'สรุปรวมคชจ.'!F23</f>
        <v>170928.07</v>
      </c>
      <c r="G22" s="11">
        <f>+'สรุปรวมคชจ.'!G23</f>
        <v>0</v>
      </c>
      <c r="H22" s="11">
        <f>+'สรุปรวมคชจ.'!H23</f>
        <v>101797</v>
      </c>
      <c r="I22" s="11">
        <f>+'สรุปรวมคชจ.'!I23</f>
        <v>20891</v>
      </c>
      <c r="J22" s="11">
        <f>+'สรุปรวมคชจ.'!J23</f>
        <v>0</v>
      </c>
      <c r="K22" s="11">
        <f>+'สรุปรวมคชจ.'!K23</f>
        <v>0</v>
      </c>
      <c r="L22" s="11">
        <f>+'สรุปรวมคชจ.'!L23</f>
        <v>1186750</v>
      </c>
      <c r="M22" s="11">
        <f>+'สรุปรวมคชจ.'!M23</f>
        <v>0</v>
      </c>
      <c r="N22" s="11">
        <f t="shared" si="0"/>
        <v>12018026.61</v>
      </c>
      <c r="O22" s="11">
        <f>+'สรุปรวมคชจ.'!Q23</f>
        <v>1062220.41</v>
      </c>
      <c r="P22" s="11">
        <f>+'สรุปรวมคชจ.'!R23</f>
        <v>863066.17</v>
      </c>
      <c r="Q22" s="11">
        <f>+'สรุปรวมคชจ.'!S23</f>
        <v>0</v>
      </c>
      <c r="R22" s="11">
        <f>+'สรุปรวมคชจ.'!T23</f>
        <v>1611382.79</v>
      </c>
      <c r="S22" s="11">
        <f>+'สรุปรวมคชจ.'!U23</f>
        <v>16580.86</v>
      </c>
      <c r="T22" s="11">
        <f>+'สรุปรวมคชจ.'!V23</f>
        <v>0</v>
      </c>
      <c r="U22" s="11">
        <f t="shared" si="1"/>
        <v>3553250.23</v>
      </c>
      <c r="V22" s="11">
        <f>+'สรุปรวมคชจ.'!Z23</f>
        <v>0</v>
      </c>
      <c r="W22" s="11">
        <f>+'สรุปรวมคชจ.'!AA23</f>
        <v>0</v>
      </c>
      <c r="X22" s="11">
        <f>+'สรุปรวมคชจ.'!AB23</f>
        <v>0</v>
      </c>
      <c r="Y22" s="11">
        <f t="shared" si="2"/>
        <v>0</v>
      </c>
      <c r="Z22" s="22">
        <f t="shared" si="3"/>
        <v>15571276.84</v>
      </c>
      <c r="AA22" s="20">
        <v>426.87</v>
      </c>
      <c r="AB22" s="1">
        <f>AB6*AA22/AA24</f>
        <v>11286382.232378496</v>
      </c>
      <c r="AC22" s="1">
        <f>AC6*AB22/AB24</f>
        <v>5127030.136984976</v>
      </c>
      <c r="AD22" s="60">
        <f>AD6*AC22/AC24</f>
        <v>973020.5717354105</v>
      </c>
      <c r="AE22" s="59">
        <f>+N22+AB22</f>
        <v>23304408.842378497</v>
      </c>
      <c r="AF22" s="8">
        <f t="shared" si="4"/>
        <v>8680280.366984976</v>
      </c>
      <c r="AG22" s="8">
        <f>+Y22+AD22</f>
        <v>973020.5717354105</v>
      </c>
      <c r="AH22" s="8">
        <f>+AE22+AF22+AG22</f>
        <v>32957709.781098887</v>
      </c>
    </row>
    <row r="23" spans="1:37" s="9" customFormat="1" ht="19.5" thickBot="1">
      <c r="A23" s="50" t="s">
        <v>214</v>
      </c>
      <c r="B23" s="15">
        <f>+'สรุปรวมคชจ.'!B24</f>
        <v>2178360</v>
      </c>
      <c r="C23" s="15">
        <f>+'สรุปรวมคชจ.'!C24</f>
        <v>2152121</v>
      </c>
      <c r="D23" s="15">
        <f>+'สรุปรวมคชจ.'!D24</f>
        <v>287951.69</v>
      </c>
      <c r="E23" s="15">
        <f>+'สรุปรวมคชจ.'!E24</f>
        <v>0</v>
      </c>
      <c r="F23" s="15">
        <f>+'สรุปรวมคชจ.'!F24</f>
        <v>0</v>
      </c>
      <c r="G23" s="15">
        <f>+'สรุปรวมคชจ.'!G24</f>
        <v>0</v>
      </c>
      <c r="H23" s="15">
        <f>+'สรุปรวมคชจ.'!H24</f>
        <v>0</v>
      </c>
      <c r="I23" s="15">
        <f>+'สรุปรวมคชจ.'!I24</f>
        <v>0</v>
      </c>
      <c r="J23" s="15">
        <f>+'สรุปรวมคชจ.'!J24</f>
        <v>0</v>
      </c>
      <c r="K23" s="15">
        <f>+'สรุปรวมคชจ.'!K24</f>
        <v>24414255.83</v>
      </c>
      <c r="L23" s="15">
        <f>+'สรุปรวมคชจ.'!L24</f>
        <v>1141500</v>
      </c>
      <c r="M23" s="15">
        <f>+'สรุปรวมคชจ.'!M24</f>
        <v>0</v>
      </c>
      <c r="N23" s="15">
        <f t="shared" si="0"/>
        <v>30174188.52</v>
      </c>
      <c r="O23" s="15">
        <f>+'สรุปรวมคชจ.'!Q24</f>
        <v>2635924.63</v>
      </c>
      <c r="P23" s="15">
        <f>+'สรุปรวมคชจ.'!R24</f>
        <v>1274425.2</v>
      </c>
      <c r="Q23" s="15">
        <f>+'สรุปรวมคชจ.'!S24</f>
        <v>0</v>
      </c>
      <c r="R23" s="15">
        <f>+'สรุปรวมคชจ.'!T24</f>
        <v>18148339.35</v>
      </c>
      <c r="S23" s="15">
        <f>+'สรุปรวมคชจ.'!U24</f>
        <v>1654892.11</v>
      </c>
      <c r="T23" s="15">
        <f>+'สรุปรวมคชจ.'!V24</f>
        <v>0</v>
      </c>
      <c r="U23" s="15">
        <f t="shared" si="1"/>
        <v>23713581.29</v>
      </c>
      <c r="V23" s="15">
        <f>+'สรุปรวมคชจ.'!Z24</f>
        <v>0</v>
      </c>
      <c r="W23" s="15">
        <f>+'สรุปรวมคชจ.'!AA24</f>
        <v>756604</v>
      </c>
      <c r="X23" s="15">
        <f>+'สรุปรวมคชจ.'!AB24</f>
        <v>0</v>
      </c>
      <c r="Y23" s="15">
        <f t="shared" si="2"/>
        <v>756604</v>
      </c>
      <c r="Z23" s="131">
        <f t="shared" si="3"/>
        <v>54644373.81</v>
      </c>
      <c r="AA23" s="132">
        <v>390.85</v>
      </c>
      <c r="AB23" s="8">
        <f>AB6*AA23/AA24</f>
        <v>10334018.543175055</v>
      </c>
      <c r="AC23" s="8">
        <f>AC6*AB23/AB24</f>
        <v>4694402.813598</v>
      </c>
      <c r="AD23" s="133">
        <f>AD6*AC23/AC24</f>
        <v>890915.4788642566</v>
      </c>
      <c r="AE23" s="134">
        <f>+N23+AB23</f>
        <v>40508207.06317505</v>
      </c>
      <c r="AF23" s="8">
        <f t="shared" si="4"/>
        <v>28407984.103598</v>
      </c>
      <c r="AG23" s="8">
        <f>+Y23+AD23</f>
        <v>1647519.4788642568</v>
      </c>
      <c r="AH23" s="8">
        <f>+AE23+AF23+AG23</f>
        <v>70563710.6456373</v>
      </c>
      <c r="AI23" s="5"/>
      <c r="AJ23" s="5"/>
      <c r="AK23" s="5"/>
    </row>
    <row r="24" spans="1:34" ht="19.5" thickBot="1">
      <c r="A24" s="51" t="s">
        <v>22</v>
      </c>
      <c r="B24" s="136">
        <f>+'สรุปรวมคชจ.'!B25</f>
        <v>270978366.23</v>
      </c>
      <c r="C24" s="136">
        <f>+'สรุปรวมคชจ.'!C25</f>
        <v>42832972.019999996</v>
      </c>
      <c r="D24" s="136">
        <f>+'สรุปรวมคชจ.'!D25</f>
        <v>8891407.52</v>
      </c>
      <c r="E24" s="136">
        <f>+'สรุปรวมคชจ.'!E25</f>
        <v>312735</v>
      </c>
      <c r="F24" s="136">
        <f>+'สรุปรวมคชจ.'!F25</f>
        <v>1611248.7100000002</v>
      </c>
      <c r="G24" s="136">
        <f>+'สรุปรวมคชจ.'!G25</f>
        <v>0</v>
      </c>
      <c r="H24" s="136">
        <f>+'สรุปรวมคชจ.'!H25</f>
        <v>622612.6</v>
      </c>
      <c r="I24" s="136">
        <f>+'สรุปรวมคชจ.'!I25</f>
        <v>551683.3200000001</v>
      </c>
      <c r="J24" s="136">
        <f>+'สรุปรวมคชจ.'!J25</f>
        <v>0</v>
      </c>
      <c r="K24" s="136">
        <f>+'สรุปรวมคชจ.'!K25</f>
        <v>28564992.189999998</v>
      </c>
      <c r="L24" s="136">
        <f>+'สรุปรวมคชจ.'!L25</f>
        <v>21513580.28</v>
      </c>
      <c r="M24" s="136">
        <f>+'สรุปรวมคชจ.'!M25</f>
        <v>0</v>
      </c>
      <c r="N24" s="136">
        <f t="shared" si="0"/>
        <v>375879597.87</v>
      </c>
      <c r="O24" s="136">
        <f>+'สรุปรวมคชจ.'!Q25</f>
        <v>32797426.419999994</v>
      </c>
      <c r="P24" s="136">
        <f>+'สรุปรวมคชจ.'!R25</f>
        <v>44030741.47</v>
      </c>
      <c r="Q24" s="136">
        <f>+'สรุปรวมคชจ.'!S25</f>
        <v>0</v>
      </c>
      <c r="R24" s="136">
        <f>+'สรุปรวมคชจ.'!T25</f>
        <v>161894418.59</v>
      </c>
      <c r="S24" s="136">
        <f>+'สรุปรวมคชจ.'!U25</f>
        <v>22129870.079999994</v>
      </c>
      <c r="T24" s="136">
        <f>+'สรุปรวมคชจ.'!V25</f>
        <v>0</v>
      </c>
      <c r="U24" s="136">
        <f t="shared" si="1"/>
        <v>260852456.55999997</v>
      </c>
      <c r="V24" s="136">
        <f>+'สรุปรวมคชจ.'!Z25</f>
        <v>12699203</v>
      </c>
      <c r="W24" s="136">
        <f>+'สรุปรวมคชจ.'!AA25</f>
        <v>12575539.14</v>
      </c>
      <c r="X24" s="136">
        <f>+'สรุปรวมคชจ.'!AB25</f>
        <v>0</v>
      </c>
      <c r="Y24" s="136">
        <f t="shared" si="2"/>
        <v>25274742.14</v>
      </c>
      <c r="Z24" s="137">
        <f t="shared" si="3"/>
        <v>662006796.5699999</v>
      </c>
      <c r="AA24" s="138">
        <f>SUM(AA7:AA23)</f>
        <v>13587.220000000001</v>
      </c>
      <c r="AB24" s="120">
        <f>SUM(AB7:AB23)</f>
        <v>359244168.9399998</v>
      </c>
      <c r="AC24" s="120">
        <f>SUM(AC7:AC23)</f>
        <v>163192743.5</v>
      </c>
      <c r="AD24" s="139">
        <f>SUM(AD7:AD23)</f>
        <v>30971126.040000007</v>
      </c>
      <c r="AE24" s="140">
        <f t="shared" si="7"/>
        <v>735123766.8099998</v>
      </c>
      <c r="AF24" s="120">
        <f t="shared" si="4"/>
        <v>424045200.05999994</v>
      </c>
      <c r="AG24" s="120">
        <f>+Y24+AD24</f>
        <v>56245868.18000001</v>
      </c>
      <c r="AH24" s="120">
        <f>+AE24+AF24+AG24</f>
        <v>1215414835.05</v>
      </c>
    </row>
    <row r="25" spans="1:34" ht="19.5" thickBot="1">
      <c r="A25" s="41" t="s">
        <v>23</v>
      </c>
      <c r="B25" s="123">
        <f>+'สรุปรวมคชจ.'!B26</f>
        <v>0</v>
      </c>
      <c r="C25" s="123">
        <f>+'สรุปรวมคชจ.'!C26</f>
        <v>0</v>
      </c>
      <c r="D25" s="123">
        <f>+'สรุปรวมคชจ.'!D26</f>
        <v>0</v>
      </c>
      <c r="E25" s="123">
        <f>+'สรุปรวมคชจ.'!E26</f>
        <v>0</v>
      </c>
      <c r="F25" s="123">
        <f>+'สรุปรวมคชจ.'!F26</f>
        <v>0</v>
      </c>
      <c r="G25" s="123">
        <f>+'สรุปรวมคชจ.'!G26</f>
        <v>0</v>
      </c>
      <c r="H25" s="123">
        <f>+'สรุปรวมคชจ.'!H26</f>
        <v>0</v>
      </c>
      <c r="I25" s="123">
        <f>+'สรุปรวมคชจ.'!I26</f>
        <v>0</v>
      </c>
      <c r="J25" s="123">
        <f>+'สรุปรวมคชจ.'!J26</f>
        <v>0</v>
      </c>
      <c r="K25" s="123">
        <f>+'สรุปรวมคชจ.'!K26</f>
        <v>0</v>
      </c>
      <c r="L25" s="123">
        <f>+'สรุปรวมคชจ.'!L26</f>
        <v>0</v>
      </c>
      <c r="M25" s="123">
        <f>+'สรุปรวมคชจ.'!M26</f>
        <v>0</v>
      </c>
      <c r="N25" s="123">
        <f t="shared" si="0"/>
        <v>0</v>
      </c>
      <c r="O25" s="123">
        <f>+'สรุปรวมคชจ.'!Q26</f>
        <v>0</v>
      </c>
      <c r="P25" s="123">
        <f>+'สรุปรวมคชจ.'!R26</f>
        <v>0</v>
      </c>
      <c r="Q25" s="123">
        <f>+'สรุปรวมคชจ.'!S26</f>
        <v>0</v>
      </c>
      <c r="R25" s="123">
        <f>+'สรุปรวมคชจ.'!T26</f>
        <v>0</v>
      </c>
      <c r="S25" s="123">
        <f>+'สรุปรวมคชจ.'!U26</f>
        <v>0</v>
      </c>
      <c r="T25" s="123">
        <f>+'สรุปรวมคชจ.'!V26</f>
        <v>0</v>
      </c>
      <c r="U25" s="123">
        <f t="shared" si="1"/>
        <v>0</v>
      </c>
      <c r="V25" s="123">
        <f>+'สรุปรวมคชจ.'!Z26</f>
        <v>0</v>
      </c>
      <c r="W25" s="123">
        <f>+'สรุปรวมคชจ.'!AA26</f>
        <v>0</v>
      </c>
      <c r="X25" s="123">
        <f>+'สรุปรวมคชจ.'!AB26</f>
        <v>0</v>
      </c>
      <c r="Y25" s="123">
        <f t="shared" si="2"/>
        <v>0</v>
      </c>
      <c r="Z25" s="123">
        <f t="shared" si="3"/>
        <v>0</v>
      </c>
      <c r="AA25" s="194" t="s">
        <v>207</v>
      </c>
      <c r="AB25" s="194"/>
      <c r="AC25" s="194"/>
      <c r="AD25" s="194"/>
      <c r="AE25" s="135">
        <f>+AE24*100/AH24</f>
        <v>60.48336301405752</v>
      </c>
      <c r="AF25" s="135">
        <f>+AF24*100/AH24</f>
        <v>34.888927453527046</v>
      </c>
      <c r="AG25" s="135">
        <f>+AG24*100/AH24</f>
        <v>4.6277095324154205</v>
      </c>
      <c r="AH25" s="135">
        <f>+AE25+AF25+AG25</f>
        <v>99.99999999999999</v>
      </c>
    </row>
    <row r="26" spans="1:34" ht="19.5" thickTop="1">
      <c r="A26" s="1" t="s">
        <v>215</v>
      </c>
      <c r="B26" s="11">
        <f>+'สรุปรวมคชจ.'!B27</f>
        <v>274444007.52</v>
      </c>
      <c r="C26" s="11">
        <f>+'สรุปรวมคชจ.'!C27</f>
        <v>5843996.58</v>
      </c>
      <c r="D26" s="11">
        <f>+'สรุปรวมคชจ.'!D27</f>
        <v>0</v>
      </c>
      <c r="E26" s="11">
        <f>+'สรุปรวมคชจ.'!E27</f>
        <v>0</v>
      </c>
      <c r="F26" s="11">
        <f>+'สรุปรวมคชจ.'!F27</f>
        <v>0</v>
      </c>
      <c r="G26" s="11">
        <f>+'สรุปรวมคชจ.'!G27</f>
        <v>0</v>
      </c>
      <c r="H26" s="11">
        <f>+'สรุปรวมคชจ.'!H27</f>
        <v>0</v>
      </c>
      <c r="I26" s="11">
        <f>+'สรุปรวมคชจ.'!I27</f>
        <v>0</v>
      </c>
      <c r="J26" s="11">
        <f>+'สรุปรวมคชจ.'!J27</f>
        <v>0</v>
      </c>
      <c r="K26" s="11">
        <f>+'สรุปรวมคชจ.'!K27</f>
        <v>3510920</v>
      </c>
      <c r="L26" s="11">
        <f>+'สรุปรวมคชจ.'!L27</f>
        <v>28528200</v>
      </c>
      <c r="M26" s="11">
        <f>+'สรุปรวมคชจ.'!M27</f>
        <v>0</v>
      </c>
      <c r="N26" s="11">
        <f t="shared" si="0"/>
        <v>312327124.09999996</v>
      </c>
      <c r="O26" s="11">
        <f>+'สรุปรวมคชจ.'!Q27</f>
        <v>41795085.57</v>
      </c>
      <c r="P26" s="11">
        <f>+'สรุปรวมคชจ.'!R27</f>
        <v>38351674.05</v>
      </c>
      <c r="Q26" s="11">
        <f>+'สรุปรวมคชจ.'!S27</f>
        <v>0</v>
      </c>
      <c r="R26" s="11">
        <f>+'สรุปรวมคชจ.'!T27</f>
        <v>15278926.21</v>
      </c>
      <c r="S26" s="11">
        <f>+'สรุปรวมคชจ.'!U27</f>
        <v>7802584.32</v>
      </c>
      <c r="T26" s="11">
        <f>+'สรุปรวมคชจ.'!V27</f>
        <v>0</v>
      </c>
      <c r="U26" s="11">
        <f t="shared" si="1"/>
        <v>103228270.15</v>
      </c>
      <c r="V26" s="11">
        <f>+'สรุปรวมคชจ.'!Z27</f>
        <v>7692249</v>
      </c>
      <c r="W26" s="11">
        <f>+'สรุปรวมคชจ.'!AA27</f>
        <v>19364569.94</v>
      </c>
      <c r="X26" s="11">
        <f>+'สรุปรวมคชจ.'!AB27</f>
        <v>0</v>
      </c>
      <c r="Y26" s="11">
        <f t="shared" si="2"/>
        <v>27056818.94</v>
      </c>
      <c r="Z26" s="11">
        <f t="shared" si="3"/>
        <v>442612213.19</v>
      </c>
      <c r="AA26" s="74"/>
      <c r="AH26" s="61"/>
    </row>
    <row r="27" spans="1:30" ht="18.75">
      <c r="A27" s="1" t="s">
        <v>24</v>
      </c>
      <c r="B27" s="11">
        <f>+'สรุปรวมคชจ.'!B28</f>
        <v>0</v>
      </c>
      <c r="C27" s="11">
        <f>+'สรุปรวมคชจ.'!C28</f>
        <v>3132583.83</v>
      </c>
      <c r="D27" s="11">
        <f>+'สรุปรวมคชจ.'!D28</f>
        <v>0</v>
      </c>
      <c r="E27" s="11">
        <f>+'สรุปรวมคชจ.'!E28</f>
        <v>0</v>
      </c>
      <c r="F27" s="11">
        <f>+'สรุปรวมคชจ.'!F28</f>
        <v>0</v>
      </c>
      <c r="G27" s="11">
        <f>+'สรุปรวมคชจ.'!G28</f>
        <v>0</v>
      </c>
      <c r="H27" s="11">
        <f>+'สรุปรวมคชจ.'!H28</f>
        <v>0</v>
      </c>
      <c r="I27" s="11">
        <f>+'สรุปรวมคชจ.'!I28</f>
        <v>0</v>
      </c>
      <c r="J27" s="11">
        <f>+'สรุปรวมคชจ.'!J28</f>
        <v>0</v>
      </c>
      <c r="K27" s="11">
        <f>+'สรุปรวมคชจ.'!K28</f>
        <v>0</v>
      </c>
      <c r="L27" s="11">
        <f>+'สรุปรวมคชจ.'!L28</f>
        <v>298334</v>
      </c>
      <c r="M27" s="11">
        <f>+'สรุปรวมคชจ.'!M28</f>
        <v>0</v>
      </c>
      <c r="N27" s="11">
        <f t="shared" si="0"/>
        <v>3430917.83</v>
      </c>
      <c r="O27" s="11">
        <f>+'สรุปรวมคชจ.'!Q28</f>
        <v>6575383.8</v>
      </c>
      <c r="P27" s="11">
        <f>+'สรุปรวมคชจ.'!R28</f>
        <v>2282796.65</v>
      </c>
      <c r="Q27" s="11">
        <f>+'สรุปรวมคชจ.'!S28</f>
        <v>0</v>
      </c>
      <c r="R27" s="11">
        <f>+'สรุปรวมคชจ.'!T28</f>
        <v>0</v>
      </c>
      <c r="S27" s="11">
        <f>+'สรุปรวมคชจ.'!U28</f>
        <v>0</v>
      </c>
      <c r="T27" s="11">
        <f>+'สรุปรวมคชจ.'!V28</f>
        <v>0</v>
      </c>
      <c r="U27" s="11">
        <f t="shared" si="1"/>
        <v>8858180.45</v>
      </c>
      <c r="V27" s="11">
        <f>+'สรุปรวมคชจ.'!Z28</f>
        <v>0</v>
      </c>
      <c r="W27" s="11">
        <f>+'สรุปรวมคชจ.'!AA28</f>
        <v>3646907.1</v>
      </c>
      <c r="X27" s="11">
        <f>+'สรุปรวมคชจ.'!AB28</f>
        <v>0</v>
      </c>
      <c r="Y27" s="11">
        <f t="shared" si="2"/>
        <v>3646907.1</v>
      </c>
      <c r="Z27" s="11">
        <f t="shared" si="3"/>
        <v>15936005.379999999</v>
      </c>
      <c r="AA27" s="74"/>
      <c r="AB27" s="6" t="s">
        <v>285</v>
      </c>
      <c r="AC27" s="6" t="s">
        <v>289</v>
      </c>
      <c r="AD27" s="27" t="s">
        <v>291</v>
      </c>
    </row>
    <row r="28" spans="1:29" ht="18.75">
      <c r="A28" s="1" t="s">
        <v>25</v>
      </c>
      <c r="B28" s="11">
        <f>+'สรุปรวมคชจ.'!B29</f>
        <v>3731803.07</v>
      </c>
      <c r="C28" s="11">
        <f>+'สรุปรวมคชจ.'!C29</f>
        <v>3914853.35</v>
      </c>
      <c r="D28" s="11">
        <f>+'สรุปรวมคชจ.'!D29</f>
        <v>0</v>
      </c>
      <c r="E28" s="11">
        <f>+'สรุปรวมคชจ.'!E29</f>
        <v>0</v>
      </c>
      <c r="F28" s="11">
        <f>+'สรุปรวมคชจ.'!F29</f>
        <v>10020</v>
      </c>
      <c r="G28" s="11">
        <f>+'สรุปรวมคชจ.'!G29</f>
        <v>0</v>
      </c>
      <c r="H28" s="11">
        <f>+'สรุปรวมคชจ.'!H29</f>
        <v>0</v>
      </c>
      <c r="I28" s="11">
        <f>+'สรุปรวมคชจ.'!I29</f>
        <v>18752</v>
      </c>
      <c r="J28" s="11">
        <f>+'สรุปรวมคชจ.'!J29</f>
        <v>0</v>
      </c>
      <c r="K28" s="11">
        <f>+'สรุปรวมคชจ.'!K29</f>
        <v>2055593.84</v>
      </c>
      <c r="L28" s="11">
        <f>+'สรุปรวมคชจ.'!L29</f>
        <v>0</v>
      </c>
      <c r="M28" s="11">
        <f>+'สรุปรวมคชจ.'!M29</f>
        <v>0</v>
      </c>
      <c r="N28" s="11">
        <f t="shared" si="0"/>
        <v>9731022.26</v>
      </c>
      <c r="O28" s="11">
        <f>+'สรุปรวมคชจ.'!Q29</f>
        <v>798645</v>
      </c>
      <c r="P28" s="11">
        <f>+'สรุปรวมคชจ.'!R29</f>
        <v>3701410.83</v>
      </c>
      <c r="Q28" s="11">
        <f>+'สรุปรวมคชจ.'!S29</f>
        <v>0</v>
      </c>
      <c r="R28" s="11">
        <f>+'สรุปรวมคชจ.'!T29</f>
        <v>1148502.86</v>
      </c>
      <c r="S28" s="11">
        <f>+'สรุปรวมคชจ.'!U29</f>
        <v>4239054.38</v>
      </c>
      <c r="T28" s="11">
        <f>+'สรุปรวมคชจ.'!V29</f>
        <v>0</v>
      </c>
      <c r="U28" s="11">
        <f t="shared" si="1"/>
        <v>9887613.07</v>
      </c>
      <c r="V28" s="11">
        <f>+'สรุปรวมคชจ.'!Z29</f>
        <v>100000</v>
      </c>
      <c r="W28" s="11">
        <f>+'สรุปรวมคชจ.'!AA29</f>
        <v>0</v>
      </c>
      <c r="X28" s="11">
        <f>+'สรุปรวมคชจ.'!AB29</f>
        <v>0</v>
      </c>
      <c r="Y28" s="11">
        <f t="shared" si="2"/>
        <v>100000</v>
      </c>
      <c r="Z28" s="11">
        <f t="shared" si="3"/>
        <v>19718635.33</v>
      </c>
      <c r="AA28" s="74"/>
      <c r="AB28" s="6" t="s">
        <v>286</v>
      </c>
      <c r="AC28" s="6" t="s">
        <v>290</v>
      </c>
    </row>
    <row r="29" spans="1:28" ht="18.75">
      <c r="A29" s="1" t="s">
        <v>26</v>
      </c>
      <c r="B29" s="11">
        <f>+'สรุปรวมคชจ.'!B30</f>
        <v>6224080.57</v>
      </c>
      <c r="C29" s="11">
        <f>+'สรุปรวมคชจ.'!C30</f>
        <v>1791369.55</v>
      </c>
      <c r="D29" s="11">
        <f>+'สรุปรวมคชจ.'!D30</f>
        <v>0</v>
      </c>
      <c r="E29" s="11">
        <f>+'สรุปรวมคชจ.'!E30</f>
        <v>64190.5</v>
      </c>
      <c r="F29" s="11">
        <f>+'สรุปรวมคชจ.'!F30</f>
        <v>338331</v>
      </c>
      <c r="G29" s="11">
        <f>+'สรุปรวมคชจ.'!G30</f>
        <v>0</v>
      </c>
      <c r="H29" s="11">
        <f>+'สรุปรวมคชจ.'!H30</f>
        <v>119309.4</v>
      </c>
      <c r="I29" s="11">
        <f>+'สรุปรวมคชจ.'!I30</f>
        <v>72780.4</v>
      </c>
      <c r="J29" s="11">
        <f>+'สรุปรวมคชจ.'!J30</f>
        <v>0</v>
      </c>
      <c r="K29" s="11">
        <f>+'สรุปรวมคชจ.'!K30</f>
        <v>0</v>
      </c>
      <c r="L29" s="11">
        <f>+'สรุปรวมคชจ.'!L30</f>
        <v>0</v>
      </c>
      <c r="M29" s="11">
        <f>+'สรุปรวมคชจ.'!M30</f>
        <v>0</v>
      </c>
      <c r="N29" s="11">
        <f t="shared" si="0"/>
        <v>8610061.420000002</v>
      </c>
      <c r="O29" s="11">
        <f>+'สรุปรวมคชจ.'!Q30</f>
        <v>4314318.57</v>
      </c>
      <c r="P29" s="11">
        <f>+'สรุปรวมคชจ.'!R30</f>
        <v>598880.27</v>
      </c>
      <c r="Q29" s="11">
        <f>+'สรุปรวมคชจ.'!S30</f>
        <v>0</v>
      </c>
      <c r="R29" s="11">
        <f>+'สรุปรวมคชจ.'!T30</f>
        <v>15211692.809999999</v>
      </c>
      <c r="S29" s="11">
        <f>+'สรุปรวมคชจ.'!U30</f>
        <v>1139368.28</v>
      </c>
      <c r="T29" s="11">
        <f>+'สรุปรวมคชจ.'!V30</f>
        <v>0</v>
      </c>
      <c r="U29" s="11">
        <f t="shared" si="1"/>
        <v>21264259.93</v>
      </c>
      <c r="V29" s="11">
        <f>+'สรุปรวมคชจ.'!Z30</f>
        <v>5300</v>
      </c>
      <c r="W29" s="11">
        <f>+'สรุปรวมคชจ.'!AA30</f>
        <v>10100</v>
      </c>
      <c r="X29" s="11">
        <f>+'สรุปรวมคชจ.'!AB30</f>
        <v>0</v>
      </c>
      <c r="Y29" s="11">
        <f t="shared" si="2"/>
        <v>15400</v>
      </c>
      <c r="Z29" s="11">
        <f t="shared" si="3"/>
        <v>29889721.35</v>
      </c>
      <c r="AA29" s="74"/>
      <c r="AB29" s="6" t="s">
        <v>287</v>
      </c>
    </row>
    <row r="30" spans="1:28" ht="18.75">
      <c r="A30" s="1" t="s">
        <v>27</v>
      </c>
      <c r="B30" s="11">
        <f>+'สรุปรวมคชจ.'!B31</f>
        <v>10124914.65</v>
      </c>
      <c r="C30" s="11">
        <f>+'สรุปรวมคชจ.'!C31</f>
        <v>4934424.37</v>
      </c>
      <c r="D30" s="11">
        <f>+'สรุปรวมคชจ.'!D31</f>
        <v>64713</v>
      </c>
      <c r="E30" s="11">
        <f>+'สรุปรวมคชจ.'!E31</f>
        <v>118100</v>
      </c>
      <c r="F30" s="11">
        <f>+'สรุปรวมคชจ.'!F31</f>
        <v>52120</v>
      </c>
      <c r="G30" s="11">
        <f>+'สรุปรวมคชจ.'!G31</f>
        <v>0</v>
      </c>
      <c r="H30" s="11">
        <f>+'สรุปรวมคชจ.'!H31</f>
        <v>98478.32</v>
      </c>
      <c r="I30" s="11">
        <f>+'สรุปรวมคชจ.'!I31</f>
        <v>3760</v>
      </c>
      <c r="J30" s="11">
        <f>+'สรุปรวมคชจ.'!J31</f>
        <v>0</v>
      </c>
      <c r="K30" s="11">
        <f>+'สรุปรวมคชจ.'!K31</f>
        <v>0</v>
      </c>
      <c r="L30" s="11">
        <f>+'สรุปรวมคชจ.'!L31</f>
        <v>0</v>
      </c>
      <c r="M30" s="11">
        <f>+'สรุปรวมคชจ.'!M31</f>
        <v>0</v>
      </c>
      <c r="N30" s="11">
        <f t="shared" si="0"/>
        <v>15396510.34</v>
      </c>
      <c r="O30" s="11">
        <f>+'สรุปรวมคชจ.'!Q31</f>
        <v>4226531.97</v>
      </c>
      <c r="P30" s="11">
        <f>+'สรุปรวมคชจ.'!R31</f>
        <v>3677067.57</v>
      </c>
      <c r="Q30" s="11">
        <f>+'สรุปรวมคชจ.'!S31</f>
        <v>0</v>
      </c>
      <c r="R30" s="11">
        <f>+'สรุปรวมคชจ.'!T31</f>
        <v>2861040.29</v>
      </c>
      <c r="S30" s="11">
        <f>+'สรุปรวมคชจ.'!U31</f>
        <v>2712223.23</v>
      </c>
      <c r="T30" s="11">
        <f>+'สรุปรวมคชจ.'!V31</f>
        <v>0</v>
      </c>
      <c r="U30" s="11">
        <f t="shared" si="1"/>
        <v>13476863.059999999</v>
      </c>
      <c r="V30" s="11">
        <f>+'สรุปรวมคชจ.'!Z31</f>
        <v>0</v>
      </c>
      <c r="W30" s="11">
        <f>+'สรุปรวมคชจ.'!AA31</f>
        <v>50000</v>
      </c>
      <c r="X30" s="11">
        <f>+'สรุปรวมคชจ.'!AB31</f>
        <v>0</v>
      </c>
      <c r="Y30" s="11">
        <f t="shared" si="2"/>
        <v>50000</v>
      </c>
      <c r="Z30" s="11">
        <f t="shared" si="3"/>
        <v>28923373.4</v>
      </c>
      <c r="AA30" s="74"/>
      <c r="AB30" s="6" t="s">
        <v>288</v>
      </c>
    </row>
    <row r="31" spans="1:27" ht="18.75">
      <c r="A31" s="1" t="s">
        <v>28</v>
      </c>
      <c r="B31" s="11">
        <f>+'สรุปรวมคชจ.'!B32</f>
        <v>2824861.36</v>
      </c>
      <c r="C31" s="11">
        <f>+'สรุปรวมคชจ.'!C32</f>
        <v>333657</v>
      </c>
      <c r="D31" s="11">
        <f>+'สรุปรวมคชจ.'!D32</f>
        <v>6600</v>
      </c>
      <c r="E31" s="11">
        <f>+'สรุปรวมคชจ.'!E32</f>
        <v>189633</v>
      </c>
      <c r="F31" s="11">
        <f>+'สรุปรวมคชจ.'!F32</f>
        <v>266954</v>
      </c>
      <c r="G31" s="11">
        <f>+'สรุปรวมคชจ.'!G32</f>
        <v>0</v>
      </c>
      <c r="H31" s="11">
        <f>+'สรุปรวมคชจ.'!H32</f>
        <v>281577.54</v>
      </c>
      <c r="I31" s="11">
        <f>+'สรุปรวมคชจ.'!I32</f>
        <v>0</v>
      </c>
      <c r="J31" s="11">
        <f>+'สรุปรวมคชจ.'!J32</f>
        <v>0</v>
      </c>
      <c r="K31" s="11">
        <f>+'สรุปรวมคชจ.'!K32</f>
        <v>0</v>
      </c>
      <c r="L31" s="11">
        <f>+'สรุปรวมคชจ.'!L32</f>
        <v>0</v>
      </c>
      <c r="M31" s="11">
        <f>+'สรุปรวมคชจ.'!M32</f>
        <v>0</v>
      </c>
      <c r="N31" s="11">
        <f t="shared" si="0"/>
        <v>3903282.9</v>
      </c>
      <c r="O31" s="11">
        <f>+'สรุปรวมคชจ.'!Q32</f>
        <v>814597.96</v>
      </c>
      <c r="P31" s="11">
        <f>+'สรุปรวมคชจ.'!R32</f>
        <v>755242.24</v>
      </c>
      <c r="Q31" s="11">
        <f>+'สรุปรวมคชจ.'!S32</f>
        <v>0</v>
      </c>
      <c r="R31" s="11">
        <f>+'สรุปรวมคชจ.'!T32</f>
        <v>62277.51</v>
      </c>
      <c r="S31" s="11">
        <f>+'สรุปรวมคชจ.'!U32</f>
        <v>224641.39</v>
      </c>
      <c r="T31" s="11">
        <f>+'สรุปรวมคชจ.'!V32</f>
        <v>0</v>
      </c>
      <c r="U31" s="11">
        <f t="shared" si="1"/>
        <v>1856759.1</v>
      </c>
      <c r="V31" s="11">
        <f>+'สรุปรวมคชจ.'!Z32</f>
        <v>0</v>
      </c>
      <c r="W31" s="11">
        <f>+'สรุปรวมคชจ.'!AA32</f>
        <v>0</v>
      </c>
      <c r="X31" s="11">
        <f>+'สรุปรวมคชจ.'!AB32</f>
        <v>0</v>
      </c>
      <c r="Y31" s="11">
        <f t="shared" si="2"/>
        <v>0</v>
      </c>
      <c r="Z31" s="11">
        <f t="shared" si="3"/>
        <v>5760042</v>
      </c>
      <c r="AA31" s="74"/>
    </row>
    <row r="32" spans="1:27" s="5" customFormat="1" ht="19.5" thickBot="1">
      <c r="A32" s="8" t="s">
        <v>29</v>
      </c>
      <c r="B32" s="15">
        <f>+'สรุปรวมคชจ.'!B33</f>
        <v>4762956.76</v>
      </c>
      <c r="C32" s="15">
        <f>+'สรุปรวมคชจ.'!C33</f>
        <v>957463.33</v>
      </c>
      <c r="D32" s="15">
        <f>+'สรุปรวมคชจ.'!D33</f>
        <v>21500</v>
      </c>
      <c r="E32" s="15">
        <f>+'สรุปรวมคชจ.'!E33</f>
        <v>14060</v>
      </c>
      <c r="F32" s="15">
        <f>+'สรุปรวมคชจ.'!F33</f>
        <v>82150</v>
      </c>
      <c r="G32" s="15">
        <f>+'สรุปรวมคชจ.'!G33</f>
        <v>0</v>
      </c>
      <c r="H32" s="15">
        <f>+'สรุปรวมคชจ.'!H33</f>
        <v>2160</v>
      </c>
      <c r="I32" s="15">
        <f>+'สรุปรวมคชจ.'!I33</f>
        <v>4960</v>
      </c>
      <c r="J32" s="15">
        <f>+'สรุปรวมคชจ.'!J33</f>
        <v>0</v>
      </c>
      <c r="K32" s="15">
        <f>+'สรุปรวมคชจ.'!K33</f>
        <v>0</v>
      </c>
      <c r="L32" s="15">
        <f>+'สรุปรวมคชจ.'!L33</f>
        <v>0</v>
      </c>
      <c r="M32" s="15">
        <f>+'สรุปรวมคชจ.'!M33</f>
        <v>0</v>
      </c>
      <c r="N32" s="15">
        <f t="shared" si="0"/>
        <v>5845250.09</v>
      </c>
      <c r="O32" s="15">
        <f>+'สรุปรวมคชจ.'!Q33</f>
        <v>1310129.04</v>
      </c>
      <c r="P32" s="15">
        <f>+'สรุปรวมคชจ.'!R33</f>
        <v>2210279.96</v>
      </c>
      <c r="Q32" s="15">
        <f>+'สรุปรวมคชจ.'!S33</f>
        <v>0</v>
      </c>
      <c r="R32" s="15">
        <f>+'สรุปรวมคชจ.'!T33</f>
        <v>992577.91</v>
      </c>
      <c r="S32" s="15">
        <f>+'สรุปรวมคชจ.'!U33</f>
        <v>107810.83</v>
      </c>
      <c r="T32" s="15">
        <f>+'สรุปรวมคชจ.'!V33</f>
        <v>0</v>
      </c>
      <c r="U32" s="15">
        <f t="shared" si="1"/>
        <v>4620797.74</v>
      </c>
      <c r="V32" s="15">
        <f>+'สรุปรวมคชจ.'!Z33</f>
        <v>0</v>
      </c>
      <c r="W32" s="15">
        <f>+'สรุปรวมคชจ.'!AA33</f>
        <v>102000</v>
      </c>
      <c r="X32" s="15">
        <f>+'สรุปรวมคชจ.'!AB33</f>
        <v>0</v>
      </c>
      <c r="Y32" s="15">
        <f t="shared" si="2"/>
        <v>102000</v>
      </c>
      <c r="Z32" s="15">
        <f t="shared" si="3"/>
        <v>10568047.83</v>
      </c>
      <c r="AA32" s="75"/>
    </row>
    <row r="33" spans="1:27" s="5" customFormat="1" ht="19.5" thickBot="1">
      <c r="A33" s="51" t="s">
        <v>22</v>
      </c>
      <c r="B33" s="136">
        <f>+'สรุปรวมคชจ.'!B34</f>
        <v>302112623.92999995</v>
      </c>
      <c r="C33" s="136">
        <f>+'สรุปรวมคชจ.'!C34</f>
        <v>20908348.009999998</v>
      </c>
      <c r="D33" s="136">
        <f>+'สรุปรวมคชจ.'!D34</f>
        <v>92813</v>
      </c>
      <c r="E33" s="136">
        <f>+'สรุปรวมคชจ.'!E34</f>
        <v>385983.5</v>
      </c>
      <c r="F33" s="136">
        <f>+'สรุปรวมคชจ.'!F34</f>
        <v>749575</v>
      </c>
      <c r="G33" s="136">
        <f>+'สรุปรวมคชจ.'!G34</f>
        <v>0</v>
      </c>
      <c r="H33" s="136">
        <f>+'สรุปรวมคชจ.'!H34</f>
        <v>501525.26</v>
      </c>
      <c r="I33" s="136">
        <f>+'สรุปรวมคชจ.'!I34</f>
        <v>100252.4</v>
      </c>
      <c r="J33" s="136">
        <f>+'สรุปรวมคชจ.'!J34</f>
        <v>0</v>
      </c>
      <c r="K33" s="136">
        <f>+'สรุปรวมคชจ.'!K34</f>
        <v>5566513.84</v>
      </c>
      <c r="L33" s="136">
        <f>+'สรุปรวมคชจ.'!L34</f>
        <v>28826534</v>
      </c>
      <c r="M33" s="136">
        <f>+'สรุปรวมคชจ.'!M34</f>
        <v>0</v>
      </c>
      <c r="N33" s="136">
        <f t="shared" si="0"/>
        <v>359244168.9399999</v>
      </c>
      <c r="O33" s="136">
        <f>+'สรุปรวมคชจ.'!Q34</f>
        <v>59834691.91</v>
      </c>
      <c r="P33" s="136">
        <f>+'สรุปรวมคชจ.'!R34</f>
        <v>51577351.57</v>
      </c>
      <c r="Q33" s="136">
        <f>+'สรุปรวมคชจ.'!S34</f>
        <v>0</v>
      </c>
      <c r="R33" s="136">
        <f>+'สรุปรวมคชจ.'!T34</f>
        <v>35555017.589999996</v>
      </c>
      <c r="S33" s="136">
        <f>+'สรุปรวมคชจ.'!U34</f>
        <v>16225682.43</v>
      </c>
      <c r="T33" s="136">
        <f>+'สรุปรวมคชจ.'!V34</f>
        <v>0</v>
      </c>
      <c r="U33" s="136">
        <f t="shared" si="1"/>
        <v>163192743.5</v>
      </c>
      <c r="V33" s="136">
        <f>+'สรุปรวมคชจ.'!Z34</f>
        <v>7797549</v>
      </c>
      <c r="W33" s="136">
        <f>+'สรุปรวมคชจ.'!AA34</f>
        <v>23173577.040000003</v>
      </c>
      <c r="X33" s="136">
        <f>+'สรุปรวมคชจ.'!AB34</f>
        <v>0</v>
      </c>
      <c r="Y33" s="136">
        <f t="shared" si="2"/>
        <v>30971126.040000003</v>
      </c>
      <c r="Z33" s="141">
        <f>+N33+U33+Y33</f>
        <v>553408038.4799999</v>
      </c>
      <c r="AA33" s="75"/>
    </row>
    <row r="34" spans="1:26" ht="19.5" thickBot="1">
      <c r="A34" s="142" t="s">
        <v>4</v>
      </c>
      <c r="B34" s="37">
        <f>+'สรุปรวมคชจ.'!B35</f>
        <v>573090990.16</v>
      </c>
      <c r="C34" s="37">
        <f>+'สรุปรวมคชจ.'!C35</f>
        <v>63741320.029999994</v>
      </c>
      <c r="D34" s="37">
        <f>+'สรุปรวมคชจ.'!D35</f>
        <v>8984220.52</v>
      </c>
      <c r="E34" s="37">
        <f>+'สรุปรวมคชจ.'!E35</f>
        <v>698718.5</v>
      </c>
      <c r="F34" s="37">
        <f>+'สรุปรวมคชจ.'!F35</f>
        <v>2360823.71</v>
      </c>
      <c r="G34" s="37">
        <f>+'สรุปรวมคชจ.'!G35</f>
        <v>0</v>
      </c>
      <c r="H34" s="37">
        <f>+'สรุปรวมคชจ.'!H35</f>
        <v>1124137.8599999999</v>
      </c>
      <c r="I34" s="37">
        <f>+'สรุปรวมคชจ.'!I35</f>
        <v>651935.7200000001</v>
      </c>
      <c r="J34" s="37">
        <f>+'สรุปรวมคชจ.'!J35</f>
        <v>0</v>
      </c>
      <c r="K34" s="37">
        <f>+'สรุปรวมคชจ.'!K35</f>
        <v>34131506.03</v>
      </c>
      <c r="L34" s="37">
        <f>+'สรุปรวมคชจ.'!L35</f>
        <v>50340114.28</v>
      </c>
      <c r="M34" s="37">
        <f>+'สรุปรวมคชจ.'!M35</f>
        <v>0</v>
      </c>
      <c r="N34" s="37">
        <f>+N24+N33</f>
        <v>735123766.81</v>
      </c>
      <c r="O34" s="37">
        <f>+'สรุปรวมคชจ.'!Q35</f>
        <v>92632118.32999998</v>
      </c>
      <c r="P34" s="37">
        <f>+'สรุปรวมคชจ.'!R35</f>
        <v>95608093.03999999</v>
      </c>
      <c r="Q34" s="37">
        <f>+'สรุปรวมคชจ.'!S35</f>
        <v>0</v>
      </c>
      <c r="R34" s="37">
        <f>+'สรุปรวมคชจ.'!T35</f>
        <v>197449436.18</v>
      </c>
      <c r="S34" s="37">
        <f>+'สรุปรวมคชจ.'!U35</f>
        <v>38355552.50999999</v>
      </c>
      <c r="T34" s="37">
        <f>+'สรุปรวมคชจ.'!V35</f>
        <v>0</v>
      </c>
      <c r="U34" s="37">
        <f>+U24+U33</f>
        <v>424045200.05999994</v>
      </c>
      <c r="V34" s="37">
        <f>+'สรุปรวมคชจ.'!Z35</f>
        <v>20496752</v>
      </c>
      <c r="W34" s="37">
        <f>+'สรุปรวมคชจ.'!AA35</f>
        <v>35749116.18000001</v>
      </c>
      <c r="X34" s="37">
        <f>+'สรุปรวมคชจ.'!AB35</f>
        <v>0</v>
      </c>
      <c r="Y34" s="37">
        <f>+Y24+Y33</f>
        <v>56245868.18000001</v>
      </c>
      <c r="Z34" s="37">
        <f>+Z24+Z33</f>
        <v>1215414835.0499997</v>
      </c>
    </row>
    <row r="35" spans="1:34" s="38" customFormat="1" ht="19.5" hidden="1" thickTop="1">
      <c r="A35" s="57" t="s">
        <v>145</v>
      </c>
      <c r="B35" s="39"/>
      <c r="C35" s="39"/>
      <c r="D35" s="73"/>
      <c r="E35" s="39"/>
      <c r="F35" s="39"/>
      <c r="G35" s="39"/>
      <c r="H35" s="39"/>
      <c r="I35" s="39"/>
      <c r="J35" s="39"/>
      <c r="K35" s="123">
        <f>+'สรุปรวมคชจ.'!K36</f>
        <v>0</v>
      </c>
      <c r="L35" s="123">
        <f>+'สรุปรวมคชจ.'!L36</f>
        <v>0</v>
      </c>
      <c r="M35" s="123">
        <f>+'สรุปรวมคชจ.'!M36</f>
        <v>0</v>
      </c>
      <c r="N35" s="39"/>
      <c r="O35" s="39"/>
      <c r="P35" s="39"/>
      <c r="Q35" s="39"/>
      <c r="R35" s="123">
        <f>+'สรุปรวมคชจ.'!T36</f>
        <v>0</v>
      </c>
      <c r="S35" s="123">
        <f>+'สรุปรวมคชจ.'!U36</f>
        <v>0</v>
      </c>
      <c r="T35" s="123">
        <f>+'สรุปรวมคชจ.'!V36</f>
        <v>0</v>
      </c>
      <c r="U35" s="39"/>
      <c r="V35" s="39"/>
      <c r="W35" s="39"/>
      <c r="X35" s="39"/>
      <c r="Y35" s="39"/>
      <c r="Z35" s="39"/>
      <c r="AA35" s="76"/>
      <c r="AB35" s="39"/>
      <c r="AC35" s="39"/>
      <c r="AD35" s="39"/>
      <c r="AE35" s="39"/>
      <c r="AF35" s="39"/>
      <c r="AG35" s="39"/>
      <c r="AH35" s="72"/>
    </row>
    <row r="36" spans="1:20" ht="19.5" hidden="1" thickTop="1">
      <c r="A36" s="52" t="s">
        <v>30</v>
      </c>
      <c r="K36" s="11">
        <f>+'สรุปรวมคชจ.'!K37</f>
        <v>0</v>
      </c>
      <c r="L36" s="11">
        <f>+'สรุปรวมคชจ.'!L37</f>
        <v>0</v>
      </c>
      <c r="M36" s="11">
        <f>+'สรุปรวมคชจ.'!M37</f>
        <v>0</v>
      </c>
      <c r="R36" s="11">
        <f>+'สรุปรวมคชจ.'!T37</f>
        <v>0</v>
      </c>
      <c r="S36" s="11">
        <f>+'สรุปรวมคชจ.'!U37</f>
        <v>0</v>
      </c>
      <c r="T36" s="11">
        <f>+'สรุปรวมคชจ.'!V37</f>
        <v>0</v>
      </c>
    </row>
    <row r="37" spans="1:20" ht="19.5" hidden="1" thickTop="1">
      <c r="A37" s="52" t="s">
        <v>31</v>
      </c>
      <c r="K37" s="11">
        <f>+'สรุปรวมคชจ.'!K38</f>
        <v>0</v>
      </c>
      <c r="L37" s="11">
        <f>+'สรุปรวมคชจ.'!L38</f>
        <v>0</v>
      </c>
      <c r="M37" s="11">
        <f>+'สรุปรวมคชจ.'!M38</f>
        <v>0</v>
      </c>
      <c r="R37" s="11">
        <f>+'สรุปรวมคชจ.'!T38</f>
        <v>0</v>
      </c>
      <c r="S37" s="11">
        <f>+'สรุปรวมคชจ.'!U38</f>
        <v>0</v>
      </c>
      <c r="T37" s="11">
        <f>+'สรุปรวมคชจ.'!V38</f>
        <v>0</v>
      </c>
    </row>
    <row r="38" spans="1:20" ht="19.5" hidden="1" thickTop="1">
      <c r="A38" s="52" t="s">
        <v>32</v>
      </c>
      <c r="K38" s="11">
        <f>+'สรุปรวมคชจ.'!K39</f>
        <v>0</v>
      </c>
      <c r="L38" s="11">
        <f>+'สรุปรวมคชจ.'!L39</f>
        <v>0</v>
      </c>
      <c r="M38" s="11">
        <f>+'สรุปรวมคชจ.'!M39</f>
        <v>0</v>
      </c>
      <c r="R38" s="11">
        <f>+'สรุปรวมคชจ.'!T39</f>
        <v>0</v>
      </c>
      <c r="S38" s="11">
        <f>+'สรุปรวมคชจ.'!U39</f>
        <v>0</v>
      </c>
      <c r="T38" s="11">
        <f>+'สรุปรวมคชจ.'!V39</f>
        <v>0</v>
      </c>
    </row>
    <row r="39" spans="1:20" ht="19.5" hidden="1" thickTop="1">
      <c r="A39" s="52" t="s">
        <v>184</v>
      </c>
      <c r="K39" s="11">
        <f>+'สรุปรวมคชจ.'!K40</f>
        <v>0</v>
      </c>
      <c r="L39" s="11">
        <f>+'สรุปรวมคชจ.'!L40</f>
        <v>0</v>
      </c>
      <c r="M39" s="11">
        <f>+'สรุปรวมคชจ.'!M40</f>
        <v>0</v>
      </c>
      <c r="R39" s="11">
        <f>+'สรุปรวมคชจ.'!T40</f>
        <v>0</v>
      </c>
      <c r="S39" s="11">
        <f>+'สรุปรวมคชจ.'!U40</f>
        <v>0</v>
      </c>
      <c r="T39" s="11">
        <f>+'สรุปรวมคชจ.'!V40</f>
        <v>0</v>
      </c>
    </row>
    <row r="40" spans="1:20" ht="19.5" hidden="1" thickTop="1">
      <c r="A40" s="52" t="s">
        <v>185</v>
      </c>
      <c r="K40" s="11">
        <f>+'สรุปรวมคชจ.'!K41</f>
        <v>0</v>
      </c>
      <c r="L40" s="11">
        <f>+'สรุปรวมคชจ.'!L41</f>
        <v>0</v>
      </c>
      <c r="M40" s="11">
        <f>+'สรุปรวมคชจ.'!M41</f>
        <v>0</v>
      </c>
      <c r="R40" s="11">
        <f>+'สรุปรวมคชจ.'!T41</f>
        <v>0</v>
      </c>
      <c r="S40" s="11">
        <f>+'สรุปรวมคชจ.'!U41</f>
        <v>0</v>
      </c>
      <c r="T40" s="11">
        <f>+'สรุปรวมคชจ.'!V41</f>
        <v>0</v>
      </c>
    </row>
    <row r="41" spans="1:20" ht="19.5" hidden="1" thickTop="1">
      <c r="A41" s="52" t="s">
        <v>33</v>
      </c>
      <c r="K41" s="11">
        <f>+'สรุปรวมคชจ.'!K42</f>
        <v>0</v>
      </c>
      <c r="L41" s="11">
        <f>+'สรุปรวมคชจ.'!L42</f>
        <v>0</v>
      </c>
      <c r="M41" s="11">
        <f>+'สรุปรวมคชจ.'!M42</f>
        <v>0</v>
      </c>
      <c r="R41" s="11">
        <f>+'สรุปรวมคชจ.'!T42</f>
        <v>0</v>
      </c>
      <c r="S41" s="11">
        <f>+'สรุปรวมคชจ.'!U42</f>
        <v>0</v>
      </c>
      <c r="T41" s="11">
        <f>+'สรุปรวมคชจ.'!V42</f>
        <v>0</v>
      </c>
    </row>
    <row r="42" spans="1:20" ht="19.5" hidden="1" thickTop="1">
      <c r="A42" s="13" t="s">
        <v>216</v>
      </c>
      <c r="K42" s="11">
        <f>+'สรุปรวมคชจ.'!K43</f>
        <v>0</v>
      </c>
      <c r="L42" s="11">
        <f>+'สรุปรวมคชจ.'!L43</f>
        <v>0</v>
      </c>
      <c r="M42" s="11">
        <f>+'สรุปรวมคชจ.'!M43</f>
        <v>0</v>
      </c>
      <c r="R42" s="11">
        <f>+'สรุปรวมคชจ.'!T43</f>
        <v>0</v>
      </c>
      <c r="S42" s="11">
        <f>+'สรุปรวมคชจ.'!U43</f>
        <v>0</v>
      </c>
      <c r="T42" s="11">
        <f>+'สรุปรวมคชจ.'!V43</f>
        <v>0</v>
      </c>
    </row>
    <row r="43" spans="1:20" ht="19.5" hidden="1" thickTop="1">
      <c r="A43" s="13" t="s">
        <v>217</v>
      </c>
      <c r="K43" s="11">
        <f>+'สรุปรวมคชจ.'!K44</f>
        <v>0</v>
      </c>
      <c r="L43" s="11">
        <f>+'สรุปรวมคชจ.'!L44</f>
        <v>0</v>
      </c>
      <c r="M43" s="11">
        <f>+'สรุปรวมคชจ.'!M44</f>
        <v>0</v>
      </c>
      <c r="R43" s="11">
        <f>+'สรุปรวมคชจ.'!T44</f>
        <v>0</v>
      </c>
      <c r="S43" s="11">
        <f>+'สรุปรวมคชจ.'!U44</f>
        <v>0</v>
      </c>
      <c r="T43" s="11">
        <f>+'สรุปรวมคชจ.'!V44</f>
        <v>0</v>
      </c>
    </row>
    <row r="44" spans="1:20" ht="19.5" hidden="1" thickTop="1">
      <c r="A44" s="52" t="s">
        <v>218</v>
      </c>
      <c r="K44" s="11">
        <f>+'สรุปรวมคชจ.'!K45</f>
        <v>0</v>
      </c>
      <c r="L44" s="11">
        <f>+'สรุปรวมคชจ.'!L45</f>
        <v>0</v>
      </c>
      <c r="M44" s="11">
        <f>+'สรุปรวมคชจ.'!M45</f>
        <v>0</v>
      </c>
      <c r="R44" s="11">
        <f>+'สรุปรวมคชจ.'!T45</f>
        <v>0</v>
      </c>
      <c r="S44" s="11">
        <f>+'สรุปรวมคชจ.'!U45</f>
        <v>0</v>
      </c>
      <c r="T44" s="11">
        <f>+'สรุปรวมคชจ.'!V45</f>
        <v>0</v>
      </c>
    </row>
    <row r="45" spans="1:20" ht="19.5" hidden="1" thickTop="1">
      <c r="A45" s="53" t="s">
        <v>219</v>
      </c>
      <c r="K45" s="11">
        <f>+'สรุปรวมคชจ.'!K46</f>
        <v>0</v>
      </c>
      <c r="L45" s="11">
        <f>+'สรุปรวมคชจ.'!L46</f>
        <v>0</v>
      </c>
      <c r="M45" s="11">
        <f>+'สรุปรวมคชจ.'!M46</f>
        <v>0</v>
      </c>
      <c r="R45" s="11">
        <f>+'สรุปรวมคชจ.'!T46</f>
        <v>0</v>
      </c>
      <c r="S45" s="11">
        <f>+'สรุปรวมคชจ.'!U46</f>
        <v>0</v>
      </c>
      <c r="T45" s="11">
        <f>+'สรุปรวมคชจ.'!V46</f>
        <v>0</v>
      </c>
    </row>
    <row r="46" spans="1:20" ht="20.25" hidden="1" thickBot="1" thickTop="1">
      <c r="A46" s="16" t="s">
        <v>22</v>
      </c>
      <c r="K46" s="11">
        <f>+'สรุปรวมคชจ.'!K47</f>
        <v>0</v>
      </c>
      <c r="L46" s="11">
        <f>+'สรุปรวมคชจ.'!L47</f>
        <v>0</v>
      </c>
      <c r="M46" s="11">
        <f>+'สรุปรวมคชจ.'!M47</f>
        <v>0</v>
      </c>
      <c r="R46" s="11">
        <f>+'สรุปรวมคชจ.'!T47</f>
        <v>0</v>
      </c>
      <c r="S46" s="11">
        <f>+'สรุปรวมคชจ.'!U47</f>
        <v>0</v>
      </c>
      <c r="T46" s="11">
        <f>+'สรุปรวมคชจ.'!V47</f>
        <v>0</v>
      </c>
    </row>
    <row r="47" spans="1:20" ht="20.25" hidden="1" thickBot="1" thickTop="1">
      <c r="A47" s="16" t="s">
        <v>34</v>
      </c>
      <c r="K47" s="11">
        <f>+'สรุปรวมคชจ.'!K48</f>
        <v>0</v>
      </c>
      <c r="L47" s="11">
        <f>+'สรุปรวมคชจ.'!L48</f>
        <v>0</v>
      </c>
      <c r="M47" s="11">
        <f>+'สรุปรวมคชจ.'!M48</f>
        <v>0</v>
      </c>
      <c r="R47" s="11">
        <f>+'สรุปรวมคชจ.'!T48</f>
        <v>0</v>
      </c>
      <c r="S47" s="11">
        <f>+'สรุปรวมคชจ.'!U48</f>
        <v>0</v>
      </c>
      <c r="T47" s="11">
        <f>+'สรุปรวมคชจ.'!V48</f>
        <v>0</v>
      </c>
    </row>
    <row r="48" ht="19.5" thickTop="1"/>
  </sheetData>
  <sheetProtection/>
  <mergeCells count="15">
    <mergeCell ref="AA25:AD25"/>
    <mergeCell ref="E4:G4"/>
    <mergeCell ref="H4:J4"/>
    <mergeCell ref="AH4:AH5"/>
    <mergeCell ref="R4:T4"/>
    <mergeCell ref="A1:AH1"/>
    <mergeCell ref="A2:AH2"/>
    <mergeCell ref="A3:AH3"/>
    <mergeCell ref="V4:X4"/>
    <mergeCell ref="O4:Q4"/>
    <mergeCell ref="K4:M4"/>
    <mergeCell ref="AE4:AG4"/>
    <mergeCell ref="AA4:AD4"/>
    <mergeCell ref="A4:A5"/>
    <mergeCell ref="B4:D4"/>
  </mergeCells>
  <printOptions horizontalCentered="1"/>
  <pageMargins left="0.38" right="0.1968503937007874" top="0.4330708661417323" bottom="0.2755905511811024" header="0.2755905511811024" footer="0.157480314960629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D142">
      <selection activeCell="I161" sqref="I161"/>
    </sheetView>
  </sheetViews>
  <sheetFormatPr defaultColWidth="9.140625" defaultRowHeight="20.25" customHeight="1"/>
  <cols>
    <col min="1" max="1" width="32.8515625" style="45" customWidth="1"/>
    <col min="2" max="2" width="30.57421875" style="45" hidden="1" customWidth="1"/>
    <col min="3" max="3" width="49.28125" style="45" bestFit="1" customWidth="1"/>
    <col min="4" max="4" width="9.8515625" style="45" customWidth="1"/>
    <col min="5" max="5" width="9.140625" style="45" customWidth="1"/>
    <col min="6" max="6" width="15.7109375" style="6" customWidth="1"/>
    <col min="7" max="7" width="13.421875" style="6" customWidth="1"/>
    <col min="8" max="8" width="12.7109375" style="6" bestFit="1" customWidth="1"/>
    <col min="9" max="9" width="14.28125" style="6" bestFit="1" customWidth="1"/>
    <col min="10" max="10" width="15.140625" style="6" bestFit="1" customWidth="1"/>
    <col min="11" max="11" width="12.7109375" style="6" customWidth="1"/>
    <col min="12" max="12" width="12.28125" style="6" customWidth="1"/>
    <col min="13" max="13" width="13.421875" style="6" customWidth="1"/>
    <col min="14" max="14" width="12.7109375" style="45" bestFit="1" customWidth="1"/>
    <col min="15" max="16384" width="9.00390625" style="45" customWidth="1"/>
  </cols>
  <sheetData>
    <row r="1" spans="1:13" s="42" customFormat="1" ht="20.25" customHeight="1">
      <c r="A1" s="195" t="s">
        <v>318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s="42" customFormat="1" ht="20.25" customHeight="1">
      <c r="A2" s="195" t="s">
        <v>252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2:13" s="42" customFormat="1" ht="20.25" customHeight="1">
      <c r="B3" s="146"/>
      <c r="C3" s="146"/>
      <c r="D3" s="146"/>
      <c r="E3" s="146"/>
      <c r="F3" s="24"/>
      <c r="G3" s="24"/>
      <c r="H3" s="24"/>
      <c r="I3" s="24"/>
      <c r="J3" s="24"/>
      <c r="K3" s="24"/>
      <c r="L3" s="24"/>
      <c r="M3" s="24"/>
    </row>
    <row r="4" spans="1:13" s="43" customFormat="1" ht="60" customHeight="1">
      <c r="A4" s="33" t="s">
        <v>48</v>
      </c>
      <c r="B4" s="33" t="s">
        <v>46</v>
      </c>
      <c r="C4" s="33" t="s">
        <v>47</v>
      </c>
      <c r="D4" s="145" t="s">
        <v>308</v>
      </c>
      <c r="E4" s="145" t="s">
        <v>309</v>
      </c>
      <c r="F4" s="145" t="s">
        <v>237</v>
      </c>
      <c r="G4" s="145" t="s">
        <v>238</v>
      </c>
      <c r="H4" s="145" t="s">
        <v>239</v>
      </c>
      <c r="I4" s="144" t="s">
        <v>49</v>
      </c>
      <c r="J4" s="34" t="s">
        <v>177</v>
      </c>
      <c r="K4" s="34" t="s">
        <v>178</v>
      </c>
      <c r="L4" s="34" t="s">
        <v>179</v>
      </c>
      <c r="M4" s="145" t="s">
        <v>176</v>
      </c>
    </row>
    <row r="5" spans="1:13" ht="20.25" customHeight="1">
      <c r="A5" s="203" t="s">
        <v>389</v>
      </c>
      <c r="B5" s="204"/>
      <c r="C5" s="205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0.25" customHeight="1">
      <c r="A6" s="44" t="s">
        <v>52</v>
      </c>
      <c r="B6" s="44" t="s">
        <v>50</v>
      </c>
      <c r="C6" s="44" t="s">
        <v>51</v>
      </c>
      <c r="D6" s="11">
        <v>32</v>
      </c>
      <c r="E6" s="11">
        <v>22.63</v>
      </c>
      <c r="F6" s="35">
        <f>25851838.2*E6/312.22</f>
        <v>1873765.6090769325</v>
      </c>
      <c r="G6" s="35">
        <f>17489647.75*E6/312.22</f>
        <v>1267666.1603436677</v>
      </c>
      <c r="H6" s="35">
        <f>1840043.84*E6/312.22</f>
        <v>133368.11254628145</v>
      </c>
      <c r="I6" s="1">
        <f>+F6+G6+H6</f>
        <v>3274799.881966882</v>
      </c>
      <c r="J6" s="1">
        <f aca="true" t="shared" si="0" ref="J6:J11">+F6/D6</f>
        <v>58555.17528365414</v>
      </c>
      <c r="K6" s="1">
        <f aca="true" t="shared" si="1" ref="K6:K11">+G6/D6</f>
        <v>39614.56751073962</v>
      </c>
      <c r="L6" s="1">
        <f aca="true" t="shared" si="2" ref="L6:L11">+H6/D6</f>
        <v>4167.753517071295</v>
      </c>
      <c r="M6" s="1">
        <f aca="true" t="shared" si="3" ref="M6:M11">SUM(J6:L6)</f>
        <v>102337.49631146506</v>
      </c>
    </row>
    <row r="7" spans="1:13" ht="20.25" customHeight="1">
      <c r="A7" s="44" t="s">
        <v>52</v>
      </c>
      <c r="B7" s="44" t="s">
        <v>50</v>
      </c>
      <c r="C7" s="44" t="s">
        <v>53</v>
      </c>
      <c r="D7" s="11">
        <v>62</v>
      </c>
      <c r="E7" s="11">
        <v>50.47</v>
      </c>
      <c r="F7" s="35">
        <f>25851838.2*E7/312.22</f>
        <v>4178919.588604189</v>
      </c>
      <c r="G7" s="35">
        <f>17489647.75*E7/312.22</f>
        <v>2827181.224593235</v>
      </c>
      <c r="H7" s="35">
        <f>1840043.84*E7/312.22</f>
        <v>297440.9474242521</v>
      </c>
      <c r="I7" s="1">
        <f aca="true" t="shared" si="4" ref="I7:I72">+F7+G7+H7</f>
        <v>7303541.760621677</v>
      </c>
      <c r="J7" s="1">
        <f t="shared" si="0"/>
        <v>67401.92884845466</v>
      </c>
      <c r="K7" s="1">
        <f t="shared" si="1"/>
        <v>45599.697170858635</v>
      </c>
      <c r="L7" s="1">
        <f t="shared" si="2"/>
        <v>4797.4346358750345</v>
      </c>
      <c r="M7" s="1">
        <f t="shared" si="3"/>
        <v>117799.06065518832</v>
      </c>
    </row>
    <row r="8" spans="1:13" ht="20.25" customHeight="1">
      <c r="A8" s="44" t="s">
        <v>52</v>
      </c>
      <c r="B8" s="44" t="s">
        <v>50</v>
      </c>
      <c r="C8" s="44" t="s">
        <v>54</v>
      </c>
      <c r="D8" s="11">
        <v>56</v>
      </c>
      <c r="E8" s="11">
        <v>47.76</v>
      </c>
      <c r="F8" s="35">
        <f>25851838.2*E8/312.22</f>
        <v>3954531.3959131376</v>
      </c>
      <c r="G8" s="35">
        <f>17489647.75*E8/312.22</f>
        <v>2675374.980910896</v>
      </c>
      <c r="H8" s="35">
        <f>1840043.84*E8/312.22</f>
        <v>281469.7770751393</v>
      </c>
      <c r="I8" s="1">
        <f t="shared" si="4"/>
        <v>6911376.153899172</v>
      </c>
      <c r="J8" s="1">
        <f t="shared" si="0"/>
        <v>70616.63206987745</v>
      </c>
      <c r="K8" s="1">
        <f t="shared" si="1"/>
        <v>47774.55323055171</v>
      </c>
      <c r="L8" s="1">
        <f t="shared" si="2"/>
        <v>5026.246019198916</v>
      </c>
      <c r="M8" s="1">
        <f t="shared" si="3"/>
        <v>123417.43131962809</v>
      </c>
    </row>
    <row r="9" spans="1:13" ht="20.25" customHeight="1">
      <c r="A9" s="44" t="s">
        <v>52</v>
      </c>
      <c r="B9" s="44" t="s">
        <v>50</v>
      </c>
      <c r="C9" s="44" t="s">
        <v>55</v>
      </c>
      <c r="D9" s="11">
        <v>77</v>
      </c>
      <c r="E9" s="11">
        <v>57.42</v>
      </c>
      <c r="F9" s="35">
        <f>25851838.2*E9/312.22</f>
        <v>4754380.082774966</v>
      </c>
      <c r="G9" s="35">
        <f>17489647.75*E9/312.22</f>
        <v>3216499.8200147334</v>
      </c>
      <c r="H9" s="35">
        <f>1840043.84*E9/312.22</f>
        <v>338400.2219358145</v>
      </c>
      <c r="I9" s="1">
        <f t="shared" si="4"/>
        <v>8309280.124725513</v>
      </c>
      <c r="J9" s="1">
        <f t="shared" si="0"/>
        <v>61745.19588019436</v>
      </c>
      <c r="K9" s="1">
        <f t="shared" si="1"/>
        <v>41772.72493525628</v>
      </c>
      <c r="L9" s="1">
        <f t="shared" si="2"/>
        <v>4394.8080770885</v>
      </c>
      <c r="M9" s="1">
        <f t="shared" si="3"/>
        <v>107912.72889253913</v>
      </c>
    </row>
    <row r="10" spans="1:13" ht="20.25" customHeight="1" thickBot="1">
      <c r="A10" s="78" t="s">
        <v>52</v>
      </c>
      <c r="B10" s="78" t="s">
        <v>50</v>
      </c>
      <c r="C10" s="78" t="s">
        <v>151</v>
      </c>
      <c r="D10" s="15">
        <v>57</v>
      </c>
      <c r="E10" s="15">
        <v>48.08</v>
      </c>
      <c r="F10" s="35">
        <f>25851838.2*E10/312.22</f>
        <v>3981027.4186663246</v>
      </c>
      <c r="G10" s="35">
        <f>17489647.75*E10/312.22</f>
        <v>2693300.4414195116</v>
      </c>
      <c r="H10" s="35">
        <f>1840043.84*E10/312.22</f>
        <v>283355.6717289091</v>
      </c>
      <c r="I10" s="8">
        <f t="shared" si="4"/>
        <v>6957683.531814745</v>
      </c>
      <c r="J10" s="1">
        <f t="shared" si="0"/>
        <v>69842.58629239166</v>
      </c>
      <c r="K10" s="1">
        <f t="shared" si="1"/>
        <v>47250.88493718441</v>
      </c>
      <c r="L10" s="1">
        <f t="shared" si="2"/>
        <v>4971.152135594896</v>
      </c>
      <c r="M10" s="1">
        <f t="shared" si="3"/>
        <v>122064.62336517096</v>
      </c>
    </row>
    <row r="11" spans="1:13" s="47" customFormat="1" ht="20.25" customHeight="1" thickBot="1" thickTop="1">
      <c r="A11" s="79"/>
      <c r="B11" s="171"/>
      <c r="C11" s="80" t="s">
        <v>181</v>
      </c>
      <c r="D11" s="16">
        <f>SUM(D6:D10)</f>
        <v>284</v>
      </c>
      <c r="E11" s="16">
        <f>SUM(E6:E10)</f>
        <v>226.35999999999996</v>
      </c>
      <c r="F11" s="81">
        <f>SUM(F6:F10)</f>
        <v>18742624.09503555</v>
      </c>
      <c r="G11" s="81">
        <f>SUM(G6:G10)</f>
        <v>12680022.627282044</v>
      </c>
      <c r="H11" s="81">
        <f>SUM(H6:H10)</f>
        <v>1334034.7307103963</v>
      </c>
      <c r="I11" s="81">
        <f t="shared" si="4"/>
        <v>32756681.453027986</v>
      </c>
      <c r="J11" s="81">
        <f t="shared" si="0"/>
        <v>65995.15526420968</v>
      </c>
      <c r="K11" s="81">
        <f t="shared" si="1"/>
        <v>44647.96699747199</v>
      </c>
      <c r="L11" s="81">
        <f t="shared" si="2"/>
        <v>4697.305389825339</v>
      </c>
      <c r="M11" s="81">
        <f t="shared" si="3"/>
        <v>115340.42765150701</v>
      </c>
    </row>
    <row r="12" spans="1:13" ht="20.25" customHeight="1" thickTop="1">
      <c r="A12" s="200" t="s">
        <v>56</v>
      </c>
      <c r="B12" s="201"/>
      <c r="C12" s="202"/>
      <c r="D12" s="10"/>
      <c r="E12" s="10"/>
      <c r="F12" s="62"/>
      <c r="G12" s="62"/>
      <c r="H12" s="62"/>
      <c r="I12" s="10"/>
      <c r="J12" s="10"/>
      <c r="K12" s="10"/>
      <c r="L12" s="10"/>
      <c r="M12" s="10"/>
    </row>
    <row r="13" spans="1:13" ht="20.25" customHeight="1">
      <c r="A13" s="44" t="s">
        <v>58</v>
      </c>
      <c r="B13" s="44" t="s">
        <v>57</v>
      </c>
      <c r="C13" s="44" t="s">
        <v>51</v>
      </c>
      <c r="D13" s="1">
        <v>866</v>
      </c>
      <c r="E13" s="1">
        <v>647.03</v>
      </c>
      <c r="F13" s="35">
        <f aca="true" t="shared" si="5" ref="F13:F20">112092692.94*E13/3275.81</f>
        <v>22140275.26412344</v>
      </c>
      <c r="G13" s="35">
        <f aca="true" t="shared" si="6" ref="G13:G20">80806018.05*E13/3275.81</f>
        <v>15960607.56237129</v>
      </c>
      <c r="H13" s="35">
        <f aca="true" t="shared" si="7" ref="H13:H20">10951609.8*E13/3275.81</f>
        <v>2163135.251706906</v>
      </c>
      <c r="I13" s="1">
        <f>+F13+G13+H13</f>
        <v>40264018.07820164</v>
      </c>
      <c r="J13" s="1">
        <f>+F13/D13</f>
        <v>25566.137718387345</v>
      </c>
      <c r="K13" s="1">
        <f>+G13/D13</f>
        <v>18430.262774100796</v>
      </c>
      <c r="L13" s="1">
        <f>+H13/D13</f>
        <v>2497.8467109779517</v>
      </c>
      <c r="M13" s="1">
        <f>SUM(J13:L13)</f>
        <v>46494.2472034661</v>
      </c>
    </row>
    <row r="14" spans="1:13" ht="20.25" customHeight="1">
      <c r="A14" s="44" t="s">
        <v>58</v>
      </c>
      <c r="B14" s="44" t="s">
        <v>57</v>
      </c>
      <c r="C14" s="44" t="s">
        <v>188</v>
      </c>
      <c r="D14" s="1">
        <v>502</v>
      </c>
      <c r="E14" s="1">
        <v>396.11</v>
      </c>
      <c r="F14" s="35">
        <f t="shared" si="5"/>
        <v>13554216.087155055</v>
      </c>
      <c r="G14" s="35">
        <f t="shared" si="6"/>
        <v>9771040.38689225</v>
      </c>
      <c r="H14" s="35">
        <f t="shared" si="7"/>
        <v>1324265.4970459216</v>
      </c>
      <c r="I14" s="1">
        <f>+F14+G14+H14</f>
        <v>24649521.971093226</v>
      </c>
      <c r="J14" s="1">
        <f aca="true" t="shared" si="8" ref="J14:J20">+F14/D14</f>
        <v>27000.43045250011</v>
      </c>
      <c r="K14" s="1">
        <f aca="true" t="shared" si="9" ref="K14:K20">+G14/D14</f>
        <v>19464.223878271416</v>
      </c>
      <c r="L14" s="1">
        <f aca="true" t="shared" si="10" ref="L14:L20">+H14/D14</f>
        <v>2637.97907778072</v>
      </c>
      <c r="M14" s="1">
        <f aca="true" t="shared" si="11" ref="M14:M20">SUM(J14:L14)</f>
        <v>49102.63340855225</v>
      </c>
    </row>
    <row r="15" spans="1:13" ht="20.25" customHeight="1">
      <c r="A15" s="44" t="s">
        <v>58</v>
      </c>
      <c r="B15" s="44" t="s">
        <v>57</v>
      </c>
      <c r="C15" s="44" t="s">
        <v>189</v>
      </c>
      <c r="D15" s="1">
        <v>519</v>
      </c>
      <c r="E15" s="1">
        <v>367.97</v>
      </c>
      <c r="F15" s="35">
        <f t="shared" si="5"/>
        <v>12591312.750474479</v>
      </c>
      <c r="G15" s="35">
        <f t="shared" si="6"/>
        <v>9076897.152722076</v>
      </c>
      <c r="H15" s="35">
        <f t="shared" si="7"/>
        <v>1230188.5207341088</v>
      </c>
      <c r="I15" s="1">
        <f aca="true" t="shared" si="12" ref="I15:I20">+F15+G15+H15</f>
        <v>22898398.423930664</v>
      </c>
      <c r="J15" s="1">
        <f t="shared" si="8"/>
        <v>24260.718209006704</v>
      </c>
      <c r="K15" s="1">
        <f t="shared" si="9"/>
        <v>17489.20453318319</v>
      </c>
      <c r="L15" s="1">
        <f t="shared" si="10"/>
        <v>2370.3054349404792</v>
      </c>
      <c r="M15" s="1">
        <f t="shared" si="11"/>
        <v>44120.228177130375</v>
      </c>
    </row>
    <row r="16" spans="1:13" ht="20.25" customHeight="1">
      <c r="A16" s="44" t="s">
        <v>58</v>
      </c>
      <c r="B16" s="44" t="s">
        <v>57</v>
      </c>
      <c r="C16" s="44" t="s">
        <v>190</v>
      </c>
      <c r="D16" s="1">
        <v>453</v>
      </c>
      <c r="E16" s="1">
        <v>312.86</v>
      </c>
      <c r="F16" s="35">
        <f t="shared" si="5"/>
        <v>10705541.50369173</v>
      </c>
      <c r="G16" s="35">
        <f t="shared" si="6"/>
        <v>7717471.650407991</v>
      </c>
      <c r="H16" s="35">
        <f t="shared" si="7"/>
        <v>1045946.0841831487</v>
      </c>
      <c r="I16" s="1">
        <f t="shared" si="12"/>
        <v>19468959.23828287</v>
      </c>
      <c r="J16" s="1">
        <f t="shared" si="8"/>
        <v>23632.54195075437</v>
      </c>
      <c r="K16" s="1">
        <f t="shared" si="9"/>
        <v>17036.36125917879</v>
      </c>
      <c r="L16" s="1">
        <f t="shared" si="10"/>
        <v>2308.9317531636834</v>
      </c>
      <c r="M16" s="1">
        <f t="shared" si="11"/>
        <v>42977.834963096844</v>
      </c>
    </row>
    <row r="17" spans="1:13" ht="20.25" customHeight="1">
      <c r="A17" s="44" t="s">
        <v>58</v>
      </c>
      <c r="B17" s="44" t="s">
        <v>57</v>
      </c>
      <c r="C17" s="44" t="s">
        <v>191</v>
      </c>
      <c r="D17" s="1">
        <v>277</v>
      </c>
      <c r="E17" s="1">
        <v>200.73</v>
      </c>
      <c r="F17" s="35">
        <f t="shared" si="5"/>
        <v>6868642.031694817</v>
      </c>
      <c r="G17" s="35">
        <f t="shared" si="6"/>
        <v>4951505.7354292525</v>
      </c>
      <c r="H17" s="35">
        <f t="shared" si="7"/>
        <v>671075.7446720047</v>
      </c>
      <c r="I17" s="1">
        <f t="shared" si="12"/>
        <v>12491223.511796074</v>
      </c>
      <c r="J17" s="1">
        <f t="shared" si="8"/>
        <v>24796.541630667212</v>
      </c>
      <c r="K17" s="1">
        <f t="shared" si="9"/>
        <v>17875.47196905867</v>
      </c>
      <c r="L17" s="1">
        <f t="shared" si="10"/>
        <v>2422.6561179494756</v>
      </c>
      <c r="M17" s="1">
        <f t="shared" si="11"/>
        <v>45094.66971767536</v>
      </c>
    </row>
    <row r="18" spans="1:13" ht="20.25" customHeight="1">
      <c r="A18" s="44" t="s">
        <v>58</v>
      </c>
      <c r="B18" s="44" t="s">
        <v>57</v>
      </c>
      <c r="C18" s="44" t="s">
        <v>59</v>
      </c>
      <c r="D18" s="1">
        <v>819</v>
      </c>
      <c r="E18" s="1">
        <v>617.53</v>
      </c>
      <c r="F18" s="35">
        <f t="shared" si="5"/>
        <v>21130835.02133463</v>
      </c>
      <c r="G18" s="35">
        <f t="shared" si="6"/>
        <v>15232916.538632123</v>
      </c>
      <c r="H18" s="35">
        <f t="shared" si="7"/>
        <v>2064511.5558576353</v>
      </c>
      <c r="I18" s="1">
        <f t="shared" si="12"/>
        <v>38428263.11582439</v>
      </c>
      <c r="J18" s="1">
        <f t="shared" si="8"/>
        <v>25800.775361824944</v>
      </c>
      <c r="K18" s="1">
        <f t="shared" si="9"/>
        <v>18599.409693079517</v>
      </c>
      <c r="L18" s="1">
        <f t="shared" si="10"/>
        <v>2520.7711304733034</v>
      </c>
      <c r="M18" s="1">
        <f t="shared" si="11"/>
        <v>46920.95618537776</v>
      </c>
    </row>
    <row r="19" spans="1:13" ht="20.25" customHeight="1">
      <c r="A19" s="44" t="s">
        <v>58</v>
      </c>
      <c r="B19" s="44" t="s">
        <v>57</v>
      </c>
      <c r="C19" s="44" t="s">
        <v>60</v>
      </c>
      <c r="D19" s="1">
        <v>131</v>
      </c>
      <c r="E19" s="1">
        <v>104.39</v>
      </c>
      <c r="F19" s="35">
        <f t="shared" si="5"/>
        <v>3572049.7269397797</v>
      </c>
      <c r="G19" s="35">
        <f t="shared" si="6"/>
        <v>2575039.524343445</v>
      </c>
      <c r="H19" s="35">
        <f t="shared" si="7"/>
        <v>348994.15626119956</v>
      </c>
      <c r="I19" s="1">
        <f t="shared" si="12"/>
        <v>6496083.407544424</v>
      </c>
      <c r="J19" s="1">
        <f t="shared" si="8"/>
        <v>27267.555167479233</v>
      </c>
      <c r="K19" s="1">
        <f t="shared" si="9"/>
        <v>19656.7902621637</v>
      </c>
      <c r="L19" s="1">
        <f t="shared" si="10"/>
        <v>2664.077528711447</v>
      </c>
      <c r="M19" s="1">
        <f t="shared" si="11"/>
        <v>49588.42295835438</v>
      </c>
    </row>
    <row r="20" spans="1:13" ht="20.25" customHeight="1" thickBot="1">
      <c r="A20" s="78" t="s">
        <v>58</v>
      </c>
      <c r="B20" s="78" t="s">
        <v>61</v>
      </c>
      <c r="C20" s="78" t="s">
        <v>53</v>
      </c>
      <c r="D20" s="8">
        <v>860</v>
      </c>
      <c r="E20" s="8">
        <v>617.75</v>
      </c>
      <c r="F20" s="35">
        <f t="shared" si="5"/>
        <v>21138363.050263904</v>
      </c>
      <c r="G20" s="35">
        <f t="shared" si="6"/>
        <v>15238343.386944754</v>
      </c>
      <c r="H20" s="35">
        <f t="shared" si="7"/>
        <v>2065247.054606342</v>
      </c>
      <c r="I20" s="1">
        <f t="shared" si="12"/>
        <v>38441953.491815</v>
      </c>
      <c r="J20" s="1">
        <f t="shared" si="8"/>
        <v>24579.491918911517</v>
      </c>
      <c r="K20" s="1">
        <f t="shared" si="9"/>
        <v>17719.003938307855</v>
      </c>
      <c r="L20" s="1">
        <f t="shared" si="10"/>
        <v>2401.4500634957467</v>
      </c>
      <c r="M20" s="1">
        <f t="shared" si="11"/>
        <v>44699.945920715116</v>
      </c>
    </row>
    <row r="21" spans="1:13" s="47" customFormat="1" ht="20.25" customHeight="1" thickBot="1" thickTop="1">
      <c r="A21" s="79"/>
      <c r="B21" s="79"/>
      <c r="C21" s="80" t="s">
        <v>155</v>
      </c>
      <c r="D21" s="16">
        <f>SUM(D13:D20)</f>
        <v>4427</v>
      </c>
      <c r="E21" s="16">
        <f>SUM(E13:E20)</f>
        <v>3264.3699999999994</v>
      </c>
      <c r="F21" s="81">
        <f>SUM(F13:F20)</f>
        <v>111701235.43567786</v>
      </c>
      <c r="G21" s="81">
        <f>SUM(G13:G20)</f>
        <v>80523821.93774319</v>
      </c>
      <c r="H21" s="81">
        <f>SUM(H13:H20)</f>
        <v>10913363.86506727</v>
      </c>
      <c r="I21" s="81">
        <f t="shared" si="4"/>
        <v>203138421.23848832</v>
      </c>
      <c r="J21" s="81">
        <f>+F21/D21</f>
        <v>25231.81283841831</v>
      </c>
      <c r="K21" s="81">
        <f aca="true" t="shared" si="13" ref="K21:K73">+G21/D21</f>
        <v>18189.25275304793</v>
      </c>
      <c r="L21" s="81">
        <f aca="true" t="shared" si="14" ref="L21:L73">+H21/D21</f>
        <v>2465.1827117838875</v>
      </c>
      <c r="M21" s="81">
        <f aca="true" t="shared" si="15" ref="M21:M73">SUM(J21:L21)</f>
        <v>45886.24830325013</v>
      </c>
    </row>
    <row r="22" spans="1:13" ht="20.25" customHeight="1" thickTop="1">
      <c r="A22" s="82" t="s">
        <v>64</v>
      </c>
      <c r="B22" s="82" t="s">
        <v>62</v>
      </c>
      <c r="C22" s="83" t="s">
        <v>169</v>
      </c>
      <c r="D22" s="172">
        <v>512</v>
      </c>
      <c r="E22" s="172">
        <v>447.19</v>
      </c>
      <c r="F22" s="62">
        <f aca="true" t="shared" si="16" ref="F22:F32">61030385.66*E22/1217.54</f>
        <v>22415836.985475138</v>
      </c>
      <c r="G22" s="62">
        <f aca="true" t="shared" si="17" ref="G22:G32">23516022.25*E22/1217.54</f>
        <v>8637194.662990538</v>
      </c>
      <c r="H22" s="62">
        <f aca="true" t="shared" si="18" ref="H22:H32">2795298.02*E22/1217.54</f>
        <v>1026684.3976902608</v>
      </c>
      <c r="I22" s="10">
        <f>+F22+G22+H22</f>
        <v>32079716.046155937</v>
      </c>
      <c r="J22" s="10">
        <f>+F22/D22</f>
        <v>43780.93161225613</v>
      </c>
      <c r="K22" s="10">
        <f t="shared" si="13"/>
        <v>16869.520826153395</v>
      </c>
      <c r="L22" s="10">
        <f t="shared" si="14"/>
        <v>2005.2429642387906</v>
      </c>
      <c r="M22" s="10">
        <f t="shared" si="15"/>
        <v>62655.695402648314</v>
      </c>
    </row>
    <row r="23" spans="1:13" ht="20.25" customHeight="1">
      <c r="A23" s="44" t="s">
        <v>64</v>
      </c>
      <c r="B23" s="44" t="s">
        <v>57</v>
      </c>
      <c r="C23" s="46" t="s">
        <v>170</v>
      </c>
      <c r="D23" s="13">
        <v>26</v>
      </c>
      <c r="E23" s="13">
        <v>5.19</v>
      </c>
      <c r="F23" s="62">
        <f t="shared" si="16"/>
        <v>260153.83607552934</v>
      </c>
      <c r="G23" s="62">
        <f t="shared" si="17"/>
        <v>100241.59820416578</v>
      </c>
      <c r="H23" s="62">
        <f t="shared" si="18"/>
        <v>11915.49905859356</v>
      </c>
      <c r="I23" s="1">
        <f t="shared" si="4"/>
        <v>372310.9333382887</v>
      </c>
      <c r="J23" s="10">
        <f aca="true" t="shared" si="19" ref="J23:J32">+F23/D23</f>
        <v>10005.916772135744</v>
      </c>
      <c r="K23" s="10">
        <f aca="true" t="shared" si="20" ref="K23:K32">+G23/D23</f>
        <v>3855.4460847756072</v>
      </c>
      <c r="L23" s="10">
        <f aca="true" t="shared" si="21" ref="L23:L32">+H23/D23</f>
        <v>458.28842533052153</v>
      </c>
      <c r="M23" s="10">
        <f aca="true" t="shared" si="22" ref="M23:M32">SUM(J23:L23)</f>
        <v>14319.651282241874</v>
      </c>
    </row>
    <row r="24" spans="1:13" ht="20.25" customHeight="1">
      <c r="A24" s="44" t="s">
        <v>64</v>
      </c>
      <c r="B24" s="44" t="s">
        <v>57</v>
      </c>
      <c r="C24" s="46" t="s">
        <v>65</v>
      </c>
      <c r="D24" s="13">
        <f>10+1</f>
        <v>11</v>
      </c>
      <c r="E24" s="13">
        <f>4.08+0.17</f>
        <v>4.25</v>
      </c>
      <c r="F24" s="62">
        <f t="shared" si="16"/>
        <v>213035.41489807316</v>
      </c>
      <c r="G24" s="62">
        <f t="shared" si="17"/>
        <v>82086.08716140743</v>
      </c>
      <c r="H24" s="62">
        <f t="shared" si="18"/>
        <v>9757.393256073723</v>
      </c>
      <c r="I24" s="1">
        <f t="shared" si="4"/>
        <v>304878.8953155543</v>
      </c>
      <c r="J24" s="10">
        <f t="shared" si="19"/>
        <v>19366.855899824834</v>
      </c>
      <c r="K24" s="10">
        <f t="shared" si="20"/>
        <v>7462.371560127948</v>
      </c>
      <c r="L24" s="10">
        <f t="shared" si="21"/>
        <v>887.0357505521566</v>
      </c>
      <c r="M24" s="10">
        <f t="shared" si="22"/>
        <v>27716.263210504938</v>
      </c>
    </row>
    <row r="25" spans="1:13" ht="20.25" customHeight="1">
      <c r="A25" s="44" t="s">
        <v>64</v>
      </c>
      <c r="B25" s="44" t="s">
        <v>57</v>
      </c>
      <c r="C25" s="46" t="s">
        <v>66</v>
      </c>
      <c r="D25" s="13">
        <v>2</v>
      </c>
      <c r="E25" s="13">
        <v>0.17</v>
      </c>
      <c r="F25" s="62">
        <f t="shared" si="16"/>
        <v>8521.416595922927</v>
      </c>
      <c r="G25" s="62">
        <f t="shared" si="17"/>
        <v>3283.4434864562973</v>
      </c>
      <c r="H25" s="62">
        <f t="shared" si="18"/>
        <v>390.29573024294893</v>
      </c>
      <c r="I25" s="1">
        <f t="shared" si="4"/>
        <v>12195.155812622173</v>
      </c>
      <c r="J25" s="10">
        <f t="shared" si="19"/>
        <v>4260.708297961463</v>
      </c>
      <c r="K25" s="10">
        <f t="shared" si="20"/>
        <v>1641.7217432281486</v>
      </c>
      <c r="L25" s="10">
        <f t="shared" si="21"/>
        <v>195.14786512147447</v>
      </c>
      <c r="M25" s="10">
        <f t="shared" si="22"/>
        <v>6097.577906311087</v>
      </c>
    </row>
    <row r="26" spans="1:13" ht="20.25" customHeight="1">
      <c r="A26" s="44" t="s">
        <v>64</v>
      </c>
      <c r="B26" s="44" t="s">
        <v>57</v>
      </c>
      <c r="C26" s="46" t="s">
        <v>67</v>
      </c>
      <c r="D26" s="13">
        <v>309</v>
      </c>
      <c r="E26" s="13">
        <v>226.5</v>
      </c>
      <c r="F26" s="62">
        <f t="shared" si="16"/>
        <v>11353534.4645679</v>
      </c>
      <c r="G26" s="62">
        <f t="shared" si="17"/>
        <v>4374705.586366773</v>
      </c>
      <c r="H26" s="62">
        <f t="shared" si="18"/>
        <v>520011.6641178113</v>
      </c>
      <c r="I26" s="1">
        <f t="shared" si="4"/>
        <v>16248251.715052484</v>
      </c>
      <c r="J26" s="10">
        <f t="shared" si="19"/>
        <v>36742.829982420386</v>
      </c>
      <c r="K26" s="10">
        <f t="shared" si="20"/>
        <v>14157.623256850397</v>
      </c>
      <c r="L26" s="10">
        <f t="shared" si="21"/>
        <v>1682.8856443942113</v>
      </c>
      <c r="M26" s="10">
        <f t="shared" si="22"/>
        <v>52583.338883665</v>
      </c>
    </row>
    <row r="27" spans="1:13" ht="20.25" customHeight="1">
      <c r="A27" s="44" t="s">
        <v>64</v>
      </c>
      <c r="B27" s="44" t="s">
        <v>57</v>
      </c>
      <c r="C27" s="46" t="s">
        <v>192</v>
      </c>
      <c r="D27" s="13">
        <v>142</v>
      </c>
      <c r="E27" s="13">
        <v>137.44</v>
      </c>
      <c r="F27" s="62">
        <f t="shared" si="16"/>
        <v>6889314.687903806</v>
      </c>
      <c r="G27" s="62">
        <f t="shared" si="17"/>
        <v>2654567.4869326674</v>
      </c>
      <c r="H27" s="62">
        <f t="shared" si="18"/>
        <v>315542.61861524056</v>
      </c>
      <c r="I27" s="1">
        <f t="shared" si="4"/>
        <v>9859424.793451713</v>
      </c>
      <c r="J27" s="10">
        <f t="shared" si="19"/>
        <v>48516.300619040885</v>
      </c>
      <c r="K27" s="10">
        <f t="shared" si="20"/>
        <v>18694.137231920195</v>
      </c>
      <c r="L27" s="10">
        <f t="shared" si="21"/>
        <v>2222.1311170087365</v>
      </c>
      <c r="M27" s="10">
        <f t="shared" si="22"/>
        <v>69432.56896796983</v>
      </c>
    </row>
    <row r="28" spans="1:13" ht="20.25" customHeight="1">
      <c r="A28" s="44" t="s">
        <v>64</v>
      </c>
      <c r="B28" s="44" t="s">
        <v>57</v>
      </c>
      <c r="C28" s="44" t="s">
        <v>193</v>
      </c>
      <c r="D28" s="1">
        <v>25</v>
      </c>
      <c r="E28" s="1">
        <v>24.25</v>
      </c>
      <c r="F28" s="62">
        <f t="shared" si="16"/>
        <v>1215555.0144184174</v>
      </c>
      <c r="G28" s="62">
        <f t="shared" si="17"/>
        <v>468373.5561562659</v>
      </c>
      <c r="H28" s="62">
        <f t="shared" si="18"/>
        <v>55674.5379905383</v>
      </c>
      <c r="I28" s="1">
        <f t="shared" si="4"/>
        <v>1739603.1085652215</v>
      </c>
      <c r="J28" s="10">
        <f t="shared" si="19"/>
        <v>48622.20057673669</v>
      </c>
      <c r="K28" s="10">
        <f t="shared" si="20"/>
        <v>18734.942246250637</v>
      </c>
      <c r="L28" s="10">
        <f t="shared" si="21"/>
        <v>2226.9815196215322</v>
      </c>
      <c r="M28" s="10">
        <f t="shared" si="22"/>
        <v>69584.12434260886</v>
      </c>
    </row>
    <row r="29" spans="1:13" ht="20.25" customHeight="1">
      <c r="A29" s="44" t="s">
        <v>64</v>
      </c>
      <c r="B29" s="44" t="s">
        <v>57</v>
      </c>
      <c r="C29" s="44" t="s">
        <v>269</v>
      </c>
      <c r="D29" s="1">
        <v>18</v>
      </c>
      <c r="E29" s="1">
        <v>13.25</v>
      </c>
      <c r="F29" s="62">
        <f t="shared" si="16"/>
        <v>664169.2346822281</v>
      </c>
      <c r="G29" s="62">
        <f t="shared" si="17"/>
        <v>255915.44820909377</v>
      </c>
      <c r="H29" s="62">
        <f t="shared" si="18"/>
        <v>30420.108386582782</v>
      </c>
      <c r="I29" s="1">
        <f>+F29+G29+H29</f>
        <v>950504.7912779046</v>
      </c>
      <c r="J29" s="10">
        <f t="shared" si="19"/>
        <v>36898.290815679335</v>
      </c>
      <c r="K29" s="10">
        <f t="shared" si="20"/>
        <v>14217.52490050521</v>
      </c>
      <c r="L29" s="10">
        <f t="shared" si="21"/>
        <v>1690.0060214768212</v>
      </c>
      <c r="M29" s="10">
        <f t="shared" si="22"/>
        <v>52805.82173766137</v>
      </c>
    </row>
    <row r="30" spans="1:13" ht="20.25" customHeight="1">
      <c r="A30" s="44" t="s">
        <v>64</v>
      </c>
      <c r="B30" s="44" t="s">
        <v>57</v>
      </c>
      <c r="C30" s="44" t="s">
        <v>194</v>
      </c>
      <c r="D30" s="1">
        <v>122</v>
      </c>
      <c r="E30" s="1">
        <v>92.25</v>
      </c>
      <c r="F30" s="62">
        <f t="shared" si="16"/>
        <v>4624121.652787588</v>
      </c>
      <c r="G30" s="62">
        <f t="shared" si="17"/>
        <v>1781750.9507387849</v>
      </c>
      <c r="H30" s="62">
        <f t="shared" si="18"/>
        <v>211792.83008771786</v>
      </c>
      <c r="I30" s="1">
        <f t="shared" si="4"/>
        <v>6617665.43361409</v>
      </c>
      <c r="J30" s="10">
        <f t="shared" si="19"/>
        <v>37902.636498258915</v>
      </c>
      <c r="K30" s="10">
        <f t="shared" si="20"/>
        <v>14604.515989662172</v>
      </c>
      <c r="L30" s="10">
        <f t="shared" si="21"/>
        <v>1736.0068039976873</v>
      </c>
      <c r="M30" s="10">
        <f t="shared" si="22"/>
        <v>54243.159291918775</v>
      </c>
    </row>
    <row r="31" spans="1:13" ht="20.25" customHeight="1">
      <c r="A31" s="44" t="s">
        <v>64</v>
      </c>
      <c r="B31" s="44" t="s">
        <v>57</v>
      </c>
      <c r="C31" s="44" t="s">
        <v>69</v>
      </c>
      <c r="D31" s="1">
        <v>326</v>
      </c>
      <c r="E31" s="1">
        <v>232.11</v>
      </c>
      <c r="F31" s="62">
        <f t="shared" si="16"/>
        <v>11634741.212233357</v>
      </c>
      <c r="G31" s="62">
        <f t="shared" si="17"/>
        <v>4483059.221419831</v>
      </c>
      <c r="H31" s="62">
        <f t="shared" si="18"/>
        <v>532891.4232158287</v>
      </c>
      <c r="I31" s="1">
        <f t="shared" si="4"/>
        <v>16650691.856869016</v>
      </c>
      <c r="J31" s="10">
        <f t="shared" si="19"/>
        <v>35689.390221574715</v>
      </c>
      <c r="K31" s="10">
        <f t="shared" si="20"/>
        <v>13751.715403128315</v>
      </c>
      <c r="L31" s="10">
        <f t="shared" si="21"/>
        <v>1634.6362675332168</v>
      </c>
      <c r="M31" s="10">
        <f t="shared" si="22"/>
        <v>51075.74189223625</v>
      </c>
    </row>
    <row r="32" spans="1:13" ht="20.25" customHeight="1" thickBot="1">
      <c r="A32" s="78" t="s">
        <v>64</v>
      </c>
      <c r="B32" s="78" t="s">
        <v>57</v>
      </c>
      <c r="C32" s="78" t="s">
        <v>68</v>
      </c>
      <c r="D32" s="8">
        <v>68</v>
      </c>
      <c r="E32" s="8">
        <v>34.94</v>
      </c>
      <c r="F32" s="62">
        <f t="shared" si="16"/>
        <v>1751401.7403620412</v>
      </c>
      <c r="G32" s="62">
        <f t="shared" si="17"/>
        <v>674844.2083340178</v>
      </c>
      <c r="H32" s="62">
        <f t="shared" si="18"/>
        <v>80217.25185110961</v>
      </c>
      <c r="I32" s="8">
        <f t="shared" si="4"/>
        <v>2506463.200547169</v>
      </c>
      <c r="J32" s="10">
        <f t="shared" si="19"/>
        <v>25755.907946500607</v>
      </c>
      <c r="K32" s="10">
        <f t="shared" si="20"/>
        <v>9924.17953432379</v>
      </c>
      <c r="L32" s="10">
        <f t="shared" si="21"/>
        <v>1179.6654683986708</v>
      </c>
      <c r="M32" s="10">
        <f t="shared" si="22"/>
        <v>36859.75294922307</v>
      </c>
    </row>
    <row r="33" spans="1:13" s="47" customFormat="1" ht="20.25" customHeight="1" thickBot="1" thickTop="1">
      <c r="A33" s="79"/>
      <c r="B33" s="79"/>
      <c r="C33" s="80" t="s">
        <v>157</v>
      </c>
      <c r="D33" s="81">
        <f>SUM(D22:D32)</f>
        <v>1561</v>
      </c>
      <c r="E33" s="81">
        <f>SUM(E22:E32)</f>
        <v>1217.54</v>
      </c>
      <c r="F33" s="81">
        <f>SUM(F22:F32)</f>
        <v>61030385.66</v>
      </c>
      <c r="G33" s="81">
        <f>SUM(G22:G32)</f>
        <v>23516022.25</v>
      </c>
      <c r="H33" s="81">
        <f>SUM(H22:H32)</f>
        <v>2795298.0200000005</v>
      </c>
      <c r="I33" s="81">
        <f>+F33+G33+H33</f>
        <v>87341705.92999999</v>
      </c>
      <c r="J33" s="81">
        <f aca="true" t="shared" si="23" ref="J33:J41">+F33/D33</f>
        <v>39096.9799231262</v>
      </c>
      <c r="K33" s="81">
        <f t="shared" si="13"/>
        <v>15064.716367713005</v>
      </c>
      <c r="L33" s="81">
        <f t="shared" si="14"/>
        <v>1790.709814221653</v>
      </c>
      <c r="M33" s="81">
        <f t="shared" si="15"/>
        <v>55952.40610506086</v>
      </c>
    </row>
    <row r="34" spans="1:13" ht="20.25" customHeight="1" thickTop="1">
      <c r="A34" s="82" t="s">
        <v>72</v>
      </c>
      <c r="B34" s="82" t="s">
        <v>70</v>
      </c>
      <c r="C34" s="82" t="s">
        <v>71</v>
      </c>
      <c r="D34" s="10">
        <v>188</v>
      </c>
      <c r="E34" s="10">
        <v>133.33</v>
      </c>
      <c r="F34" s="62">
        <f aca="true" t="shared" si="24" ref="F34:F39">33291052.22*E34/470.7</f>
        <v>9429989.361573402</v>
      </c>
      <c r="G34" s="62">
        <f aca="true" t="shared" si="25" ref="G34:G39">9261216.29*E34/470.7</f>
        <v>2623322.6427569576</v>
      </c>
      <c r="H34" s="62">
        <f aca="true" t="shared" si="26" ref="H34:H39">1072928.02*E34/470.7</f>
        <v>303916.4922596134</v>
      </c>
      <c r="I34" s="10">
        <f t="shared" si="4"/>
        <v>12357228.496589974</v>
      </c>
      <c r="J34" s="10">
        <f t="shared" si="23"/>
        <v>50159.51788070959</v>
      </c>
      <c r="K34" s="10">
        <f t="shared" si="13"/>
        <v>13953.843844451902</v>
      </c>
      <c r="L34" s="10">
        <f t="shared" si="14"/>
        <v>1616.5770864873055</v>
      </c>
      <c r="M34" s="10">
        <f t="shared" si="15"/>
        <v>65729.9388116488</v>
      </c>
    </row>
    <row r="35" spans="1:13" ht="20.25" customHeight="1">
      <c r="A35" s="44" t="s">
        <v>72</v>
      </c>
      <c r="B35" s="44" t="s">
        <v>70</v>
      </c>
      <c r="C35" s="44" t="s">
        <v>270</v>
      </c>
      <c r="D35" s="1">
        <v>115</v>
      </c>
      <c r="E35" s="1">
        <v>79.42</v>
      </c>
      <c r="F35" s="62">
        <f t="shared" si="24"/>
        <v>5617113.591060973</v>
      </c>
      <c r="G35" s="62">
        <f t="shared" si="25"/>
        <v>1562621.197688124</v>
      </c>
      <c r="H35" s="62">
        <f t="shared" si="26"/>
        <v>181032.3844240493</v>
      </c>
      <c r="I35" s="10">
        <f>+F35+G35+H35</f>
        <v>7360767.173173146</v>
      </c>
      <c r="J35" s="10">
        <f t="shared" si="23"/>
        <v>48844.46600922585</v>
      </c>
      <c r="K35" s="10">
        <f>+G35/D35</f>
        <v>13588.010414679338</v>
      </c>
      <c r="L35" s="10">
        <f>+H35/D35</f>
        <v>1574.194647165646</v>
      </c>
      <c r="M35" s="10">
        <f aca="true" t="shared" si="27" ref="M35:M40">SUM(J35:L35)</f>
        <v>64006.671071070836</v>
      </c>
    </row>
    <row r="36" spans="1:13" ht="20.25" customHeight="1">
      <c r="A36" s="44" t="s">
        <v>72</v>
      </c>
      <c r="B36" s="44" t="s">
        <v>70</v>
      </c>
      <c r="C36" s="44" t="s">
        <v>74</v>
      </c>
      <c r="D36" s="1">
        <v>18</v>
      </c>
      <c r="E36" s="1">
        <v>2.25</v>
      </c>
      <c r="F36" s="62">
        <f t="shared" si="24"/>
        <v>159135.04885277248</v>
      </c>
      <c r="G36" s="62">
        <f t="shared" si="25"/>
        <v>44269.67633843212</v>
      </c>
      <c r="H36" s="62">
        <f t="shared" si="26"/>
        <v>5128.719024856597</v>
      </c>
      <c r="I36" s="10">
        <f>+F36+G36+H36</f>
        <v>208533.4442160612</v>
      </c>
      <c r="J36" s="10">
        <f t="shared" si="23"/>
        <v>8840.83604737625</v>
      </c>
      <c r="K36" s="10">
        <f>+G36/D36</f>
        <v>2459.4264632462286</v>
      </c>
      <c r="L36" s="10">
        <f>+H36/D36</f>
        <v>284.92883471425534</v>
      </c>
      <c r="M36" s="10">
        <f t="shared" si="27"/>
        <v>11585.191345336734</v>
      </c>
    </row>
    <row r="37" spans="1:13" ht="20.25" customHeight="1">
      <c r="A37" s="44" t="s">
        <v>72</v>
      </c>
      <c r="B37" s="44" t="s">
        <v>70</v>
      </c>
      <c r="C37" s="44" t="s">
        <v>271</v>
      </c>
      <c r="D37" s="8">
        <v>23</v>
      </c>
      <c r="E37" s="8">
        <v>16.39</v>
      </c>
      <c r="F37" s="62">
        <f t="shared" si="24"/>
        <v>1159210.4225319738</v>
      </c>
      <c r="G37" s="62">
        <f t="shared" si="25"/>
        <v>322479.9978608455</v>
      </c>
      <c r="H37" s="62">
        <f t="shared" si="26"/>
        <v>37359.86880773316</v>
      </c>
      <c r="I37" s="10">
        <f>+F37+G37+H37</f>
        <v>1519050.2892005523</v>
      </c>
      <c r="J37" s="10">
        <f t="shared" si="23"/>
        <v>50400.45315356408</v>
      </c>
      <c r="K37" s="10">
        <f>+G37/D37</f>
        <v>14020.869472210676</v>
      </c>
      <c r="L37" s="10">
        <f>+H37/D37</f>
        <v>1624.3421220753548</v>
      </c>
      <c r="M37" s="10">
        <f t="shared" si="27"/>
        <v>66045.66474785011</v>
      </c>
    </row>
    <row r="38" spans="1:13" ht="20.25" customHeight="1">
      <c r="A38" s="44" t="s">
        <v>72</v>
      </c>
      <c r="B38" s="78" t="s">
        <v>57</v>
      </c>
      <c r="C38" s="105" t="s">
        <v>272</v>
      </c>
      <c r="D38" s="8">
        <v>80</v>
      </c>
      <c r="E38" s="8">
        <v>47.89</v>
      </c>
      <c r="F38" s="62">
        <f t="shared" si="24"/>
        <v>3387101.1064707884</v>
      </c>
      <c r="G38" s="62">
        <f t="shared" si="25"/>
        <v>942255.4665988953</v>
      </c>
      <c r="H38" s="62">
        <f t="shared" si="26"/>
        <v>109161.93515572553</v>
      </c>
      <c r="I38" s="10">
        <f>+F38+G38+H38</f>
        <v>4438518.508225408</v>
      </c>
      <c r="J38" s="10">
        <f t="shared" si="23"/>
        <v>42338.763830884855</v>
      </c>
      <c r="K38" s="10">
        <f>+G38/D38</f>
        <v>11778.193332486191</v>
      </c>
      <c r="L38" s="10">
        <f>+H38/D38</f>
        <v>1364.5241894465692</v>
      </c>
      <c r="M38" s="10">
        <f t="shared" si="27"/>
        <v>55481.48135281762</v>
      </c>
    </row>
    <row r="39" spans="1:13" ht="20.25" customHeight="1" thickBot="1">
      <c r="A39" s="78" t="s">
        <v>72</v>
      </c>
      <c r="B39" s="78" t="s">
        <v>62</v>
      </c>
      <c r="C39" s="78" t="s">
        <v>63</v>
      </c>
      <c r="D39" s="8">
        <v>278</v>
      </c>
      <c r="E39" s="8">
        <v>191.42</v>
      </c>
      <c r="F39" s="62">
        <f t="shared" si="24"/>
        <v>13538502.68951009</v>
      </c>
      <c r="G39" s="62">
        <f t="shared" si="25"/>
        <v>3766267.3087567445</v>
      </c>
      <c r="H39" s="62">
        <f t="shared" si="26"/>
        <v>436328.62032802205</v>
      </c>
      <c r="I39" s="10">
        <f>+F39+G39+H39</f>
        <v>17741098.618594855</v>
      </c>
      <c r="J39" s="10">
        <f t="shared" si="23"/>
        <v>48699.649962266514</v>
      </c>
      <c r="K39" s="10">
        <f>+G39/D39</f>
        <v>13547.724132218505</v>
      </c>
      <c r="L39" s="10">
        <f>+H39/D39</f>
        <v>1569.527411251878</v>
      </c>
      <c r="M39" s="10">
        <f t="shared" si="27"/>
        <v>63816.901505736896</v>
      </c>
    </row>
    <row r="40" spans="1:13" s="47" customFormat="1" ht="20.25" customHeight="1" thickBot="1" thickTop="1">
      <c r="A40" s="79"/>
      <c r="B40" s="79"/>
      <c r="C40" s="80" t="s">
        <v>158</v>
      </c>
      <c r="D40" s="81">
        <f>SUM(D34:D39)</f>
        <v>702</v>
      </c>
      <c r="E40" s="81">
        <f>SUM(E34:E39)</f>
        <v>470.69999999999993</v>
      </c>
      <c r="F40" s="81">
        <f>SUM(F34:F39)</f>
        <v>33291052.22</v>
      </c>
      <c r="G40" s="81">
        <f>SUM(G34:G39)</f>
        <v>9261216.29</v>
      </c>
      <c r="H40" s="81">
        <f>SUM(H34:H39)</f>
        <v>1072928.02</v>
      </c>
      <c r="I40" s="81">
        <f t="shared" si="4"/>
        <v>43625196.53</v>
      </c>
      <c r="J40" s="81">
        <f t="shared" si="23"/>
        <v>47423.15131054131</v>
      </c>
      <c r="K40" s="81">
        <f t="shared" si="13"/>
        <v>13192.615797720797</v>
      </c>
      <c r="L40" s="81">
        <f t="shared" si="14"/>
        <v>1528.3874928774928</v>
      </c>
      <c r="M40" s="81">
        <f t="shared" si="27"/>
        <v>62144.1546011396</v>
      </c>
    </row>
    <row r="41" spans="1:13" ht="20.25" customHeight="1" thickTop="1">
      <c r="A41" s="82" t="s">
        <v>75</v>
      </c>
      <c r="B41" s="82" t="s">
        <v>70</v>
      </c>
      <c r="C41" s="82" t="s">
        <v>73</v>
      </c>
      <c r="D41" s="10">
        <v>523</v>
      </c>
      <c r="E41" s="10">
        <v>379.5</v>
      </c>
      <c r="F41" s="62">
        <f aca="true" t="shared" si="28" ref="F41:F47">80131586.3*E41/1567.66</f>
        <v>19398298.738789022</v>
      </c>
      <c r="G41" s="62">
        <f aca="true" t="shared" si="29" ref="G41:G47">47903362.86*E41/1567.66</f>
        <v>11596472.580387328</v>
      </c>
      <c r="H41" s="62">
        <f aca="true" t="shared" si="30" ref="H41:H47">6378242.79*E41/1567.66</f>
        <v>1544048.5429270375</v>
      </c>
      <c r="I41" s="10">
        <f t="shared" si="4"/>
        <v>32538819.862103388</v>
      </c>
      <c r="J41" s="10">
        <f t="shared" si="23"/>
        <v>37090.43735906123</v>
      </c>
      <c r="K41" s="10">
        <f t="shared" si="13"/>
        <v>22172.98772540598</v>
      </c>
      <c r="L41" s="10">
        <f t="shared" si="14"/>
        <v>2952.2916690765533</v>
      </c>
      <c r="M41" s="10">
        <f t="shared" si="15"/>
        <v>62215.71675354376</v>
      </c>
    </row>
    <row r="42" spans="1:13" ht="20.25" customHeight="1">
      <c r="A42" s="44" t="s">
        <v>75</v>
      </c>
      <c r="B42" s="44" t="s">
        <v>70</v>
      </c>
      <c r="C42" s="44" t="s">
        <v>76</v>
      </c>
      <c r="D42" s="1">
        <v>451</v>
      </c>
      <c r="E42" s="1">
        <v>410.64</v>
      </c>
      <c r="F42" s="62">
        <f t="shared" si="28"/>
        <v>20990032.659015346</v>
      </c>
      <c r="G42" s="62">
        <f t="shared" si="29"/>
        <v>12548025.034019109</v>
      </c>
      <c r="H42" s="62">
        <f t="shared" si="30"/>
        <v>1670745.9648684023</v>
      </c>
      <c r="I42" s="1">
        <f t="shared" si="4"/>
        <v>35208803.65790286</v>
      </c>
      <c r="J42" s="10">
        <f aca="true" t="shared" si="31" ref="J42:J47">+F42/D42</f>
        <v>46541.09237032227</v>
      </c>
      <c r="K42" s="10">
        <f aca="true" t="shared" si="32" ref="K42:K47">+G42/D42</f>
        <v>27822.671915785162</v>
      </c>
      <c r="L42" s="10">
        <f aca="true" t="shared" si="33" ref="L42:L47">+H42/D42</f>
        <v>3704.5365074687415</v>
      </c>
      <c r="M42" s="10">
        <f aca="true" t="shared" si="34" ref="M42:M47">SUM(J42:L42)</f>
        <v>78068.30079357619</v>
      </c>
    </row>
    <row r="43" spans="1:13" ht="20.25" customHeight="1">
      <c r="A43" s="44" t="s">
        <v>75</v>
      </c>
      <c r="B43" s="44" t="s">
        <v>83</v>
      </c>
      <c r="C43" s="44" t="s">
        <v>77</v>
      </c>
      <c r="D43" s="1">
        <v>162</v>
      </c>
      <c r="E43" s="1">
        <v>121.78</v>
      </c>
      <c r="F43" s="62">
        <f t="shared" si="28"/>
        <v>6224834.836389268</v>
      </c>
      <c r="G43" s="62">
        <f t="shared" si="29"/>
        <v>3721260.687324292</v>
      </c>
      <c r="H43" s="62">
        <f t="shared" si="30"/>
        <v>495478.8710346631</v>
      </c>
      <c r="I43" s="1">
        <f t="shared" si="4"/>
        <v>10441574.394748222</v>
      </c>
      <c r="J43" s="10">
        <f t="shared" si="31"/>
        <v>38424.90639746462</v>
      </c>
      <c r="K43" s="10">
        <f t="shared" si="32"/>
        <v>22970.744983483284</v>
      </c>
      <c r="L43" s="10">
        <f t="shared" si="33"/>
        <v>3058.5115495966857</v>
      </c>
      <c r="M43" s="10">
        <f t="shared" si="34"/>
        <v>64454.1629305446</v>
      </c>
    </row>
    <row r="44" spans="1:13" ht="20.25" customHeight="1">
      <c r="A44" s="44" t="s">
        <v>75</v>
      </c>
      <c r="B44" s="44" t="s">
        <v>70</v>
      </c>
      <c r="C44" s="44" t="s">
        <v>78</v>
      </c>
      <c r="D44" s="1">
        <v>298</v>
      </c>
      <c r="E44" s="1">
        <v>211.22</v>
      </c>
      <c r="F44" s="62">
        <f t="shared" si="28"/>
        <v>10796597.258516515</v>
      </c>
      <c r="G44" s="62">
        <f t="shared" si="29"/>
        <v>6454300.233015577</v>
      </c>
      <c r="H44" s="62">
        <f t="shared" si="30"/>
        <v>859377.9531938047</v>
      </c>
      <c r="I44" s="1">
        <f t="shared" si="4"/>
        <v>18110275.444725897</v>
      </c>
      <c r="J44" s="10">
        <f t="shared" si="31"/>
        <v>36230.192142672866</v>
      </c>
      <c r="K44" s="10">
        <f t="shared" si="32"/>
        <v>21658.72561414623</v>
      </c>
      <c r="L44" s="10">
        <f t="shared" si="33"/>
        <v>2883.8186348785393</v>
      </c>
      <c r="M44" s="10">
        <f t="shared" si="34"/>
        <v>60772.73639169763</v>
      </c>
    </row>
    <row r="45" spans="1:13" ht="20.25" customHeight="1">
      <c r="A45" s="78" t="s">
        <v>75</v>
      </c>
      <c r="B45" s="78" t="s">
        <v>83</v>
      </c>
      <c r="C45" s="78" t="s">
        <v>79</v>
      </c>
      <c r="D45" s="1">
        <v>450</v>
      </c>
      <c r="E45" s="1">
        <v>330.22</v>
      </c>
      <c r="F45" s="62">
        <f t="shared" si="28"/>
        <v>16879331.25038975</v>
      </c>
      <c r="G45" s="62">
        <f t="shared" si="29"/>
        <v>10090611.793137033</v>
      </c>
      <c r="H45" s="62">
        <f t="shared" si="30"/>
        <v>1343546.0074976718</v>
      </c>
      <c r="I45" s="8">
        <f t="shared" si="4"/>
        <v>28313489.051024456</v>
      </c>
      <c r="J45" s="10">
        <f t="shared" si="31"/>
        <v>37509.625000866115</v>
      </c>
      <c r="K45" s="10">
        <f t="shared" si="32"/>
        <v>22423.581762526737</v>
      </c>
      <c r="L45" s="10">
        <f t="shared" si="33"/>
        <v>2985.6577944392707</v>
      </c>
      <c r="M45" s="10">
        <f t="shared" si="34"/>
        <v>62918.86455783212</v>
      </c>
    </row>
    <row r="46" spans="1:13" ht="20.25" customHeight="1">
      <c r="A46" s="78" t="s">
        <v>75</v>
      </c>
      <c r="B46" s="44" t="s">
        <v>70</v>
      </c>
      <c r="C46" s="44" t="s">
        <v>310</v>
      </c>
      <c r="D46" s="1">
        <v>50</v>
      </c>
      <c r="E46" s="1">
        <v>26.39</v>
      </c>
      <c r="F46" s="35">
        <f t="shared" si="28"/>
        <v>1348935.7146683591</v>
      </c>
      <c r="G46" s="35">
        <f t="shared" si="29"/>
        <v>806405.5636269344</v>
      </c>
      <c r="H46" s="35">
        <f t="shared" si="30"/>
        <v>107371.38616032813</v>
      </c>
      <c r="I46" s="1">
        <f t="shared" si="4"/>
        <v>2262712.6644556215</v>
      </c>
      <c r="J46" s="10">
        <f t="shared" si="31"/>
        <v>26978.714293367182</v>
      </c>
      <c r="K46" s="10">
        <f t="shared" si="32"/>
        <v>16128.111272538688</v>
      </c>
      <c r="L46" s="10">
        <f t="shared" si="33"/>
        <v>2147.4277232065624</v>
      </c>
      <c r="M46" s="10">
        <f t="shared" si="34"/>
        <v>45254.253289112436</v>
      </c>
    </row>
    <row r="47" spans="1:13" ht="20.25" customHeight="1" thickBot="1">
      <c r="A47" s="78" t="s">
        <v>75</v>
      </c>
      <c r="B47" s="44" t="s">
        <v>83</v>
      </c>
      <c r="C47" s="44" t="s">
        <v>311</v>
      </c>
      <c r="D47" s="8">
        <v>155</v>
      </c>
      <c r="E47" s="8">
        <v>87.91</v>
      </c>
      <c r="F47" s="106">
        <f t="shared" si="28"/>
        <v>4493555.842231734</v>
      </c>
      <c r="G47" s="106">
        <f t="shared" si="29"/>
        <v>2686286.9684897233</v>
      </c>
      <c r="H47" s="106">
        <f t="shared" si="30"/>
        <v>357674.0643180919</v>
      </c>
      <c r="I47" s="86">
        <f t="shared" si="4"/>
        <v>7537516.875039549</v>
      </c>
      <c r="J47" s="10">
        <f t="shared" si="31"/>
        <v>28990.68285310796</v>
      </c>
      <c r="K47" s="10">
        <f t="shared" si="32"/>
        <v>17330.883667675633</v>
      </c>
      <c r="L47" s="10">
        <f t="shared" si="33"/>
        <v>2307.5746085038186</v>
      </c>
      <c r="M47" s="10">
        <f t="shared" si="34"/>
        <v>48629.14112928741</v>
      </c>
    </row>
    <row r="48" spans="1:13" s="47" customFormat="1" ht="20.25" customHeight="1" thickBot="1" thickTop="1">
      <c r="A48" s="79"/>
      <c r="B48" s="79"/>
      <c r="C48" s="80" t="s">
        <v>159</v>
      </c>
      <c r="D48" s="81">
        <f>SUM(D41:D47)</f>
        <v>2089</v>
      </c>
      <c r="E48" s="81">
        <f>SUM(E41:E47)</f>
        <v>1567.66</v>
      </c>
      <c r="F48" s="81">
        <f>SUM(F41:F47)</f>
        <v>80131586.3</v>
      </c>
      <c r="G48" s="81">
        <f>SUM(G41:G47)</f>
        <v>47903362.85999999</v>
      </c>
      <c r="H48" s="81">
        <f>SUM(H41:H47)</f>
        <v>6378242.789999999</v>
      </c>
      <c r="I48" s="81">
        <f>+F48+G48+H48</f>
        <v>134413191.95</v>
      </c>
      <c r="J48" s="81">
        <f aca="true" t="shared" si="35" ref="J48:J73">+F48/D48</f>
        <v>38358.825418860695</v>
      </c>
      <c r="K48" s="81">
        <f t="shared" si="13"/>
        <v>22931.24119674485</v>
      </c>
      <c r="L48" s="81">
        <f t="shared" si="14"/>
        <v>3053.2516945907128</v>
      </c>
      <c r="M48" s="81">
        <f t="shared" si="15"/>
        <v>64343.31831019626</v>
      </c>
    </row>
    <row r="49" spans="1:13" ht="20.25" customHeight="1" thickTop="1">
      <c r="A49" s="82" t="s">
        <v>81</v>
      </c>
      <c r="B49" s="82" t="s">
        <v>80</v>
      </c>
      <c r="C49" s="82" t="s">
        <v>82</v>
      </c>
      <c r="D49" s="10">
        <v>5</v>
      </c>
      <c r="E49" s="10">
        <v>2.78</v>
      </c>
      <c r="F49" s="35">
        <f>8669856.59*E49/97.81</f>
        <v>246418.58010632856</v>
      </c>
      <c r="G49" s="35">
        <f>5999275.91*E49:E49/97.81</f>
        <v>170514.12973929045</v>
      </c>
      <c r="H49" s="35">
        <f>536635.91*E49/97.81</f>
        <v>15252.508228197525</v>
      </c>
      <c r="I49" s="1">
        <f>+F49+G49+H49</f>
        <v>432185.21807381656</v>
      </c>
      <c r="J49" s="10">
        <f t="shared" si="35"/>
        <v>49283.71602126571</v>
      </c>
      <c r="K49" s="10">
        <f t="shared" si="13"/>
        <v>34102.82594785809</v>
      </c>
      <c r="L49" s="10">
        <f t="shared" si="14"/>
        <v>3050.501645639505</v>
      </c>
      <c r="M49" s="10">
        <f t="shared" si="15"/>
        <v>86437.0436147633</v>
      </c>
    </row>
    <row r="50" spans="1:13" ht="20.25" customHeight="1">
      <c r="A50" s="44" t="s">
        <v>81</v>
      </c>
      <c r="B50" s="44" t="s">
        <v>83</v>
      </c>
      <c r="C50" s="44" t="s">
        <v>79</v>
      </c>
      <c r="D50" s="1">
        <v>41</v>
      </c>
      <c r="E50" s="1">
        <v>24</v>
      </c>
      <c r="F50" s="35">
        <f>8669856.59*E50/97.81</f>
        <v>2127354.648399959</v>
      </c>
      <c r="G50" s="35">
        <f>5999275.91*E50:E50/97.81</f>
        <v>1472064.4294039465</v>
      </c>
      <c r="H50" s="35">
        <f>536635.91*E50/97.81</f>
        <v>131676.33002760453</v>
      </c>
      <c r="I50" s="1">
        <f>+F50+G50+H50</f>
        <v>3731095.4078315096</v>
      </c>
      <c r="J50" s="1">
        <f t="shared" si="35"/>
        <v>51886.69874146241</v>
      </c>
      <c r="K50" s="1">
        <f t="shared" si="13"/>
        <v>35904.010473266986</v>
      </c>
      <c r="L50" s="1">
        <f t="shared" si="14"/>
        <v>3211.61780555133</v>
      </c>
      <c r="M50" s="1">
        <f t="shared" si="15"/>
        <v>91002.32702028073</v>
      </c>
    </row>
    <row r="51" spans="1:13" ht="20.25" customHeight="1" thickBot="1">
      <c r="A51" s="78" t="s">
        <v>81</v>
      </c>
      <c r="B51" s="78" t="s">
        <v>80</v>
      </c>
      <c r="C51" s="78" t="s">
        <v>312</v>
      </c>
      <c r="D51" s="8">
        <v>71</v>
      </c>
      <c r="E51" s="8">
        <v>71.03</v>
      </c>
      <c r="F51" s="111">
        <f>8669856.59*E51/97.81</f>
        <v>6296083.361493712</v>
      </c>
      <c r="G51" s="111">
        <f>5999275.91*E51:E51/97.81</f>
        <v>4356697.350856763</v>
      </c>
      <c r="H51" s="111">
        <f>536635.91*E51/97.81</f>
        <v>389707.071744198</v>
      </c>
      <c r="I51" s="8">
        <f t="shared" si="4"/>
        <v>11042487.784094675</v>
      </c>
      <c r="J51" s="8">
        <f t="shared" si="35"/>
        <v>88677.23044357341</v>
      </c>
      <c r="K51" s="8">
        <f t="shared" si="13"/>
        <v>61361.934519109345</v>
      </c>
      <c r="L51" s="8">
        <f t="shared" si="14"/>
        <v>5488.831996397154</v>
      </c>
      <c r="M51" s="8">
        <f t="shared" si="15"/>
        <v>155527.9969590799</v>
      </c>
    </row>
    <row r="52" spans="1:13" s="47" customFormat="1" ht="20.25" customHeight="1" thickBot="1" thickTop="1">
      <c r="A52" s="79"/>
      <c r="B52" s="79"/>
      <c r="C52" s="80" t="s">
        <v>160</v>
      </c>
      <c r="D52" s="81">
        <f>SUM(D49:D51)</f>
        <v>117</v>
      </c>
      <c r="E52" s="81">
        <f>SUM(E49:E51)</f>
        <v>97.81</v>
      </c>
      <c r="F52" s="81">
        <f>SUM(F49:F51)</f>
        <v>8669856.59</v>
      </c>
      <c r="G52" s="81">
        <f>SUM(G49:G51)</f>
        <v>5999275.91</v>
      </c>
      <c r="H52" s="81">
        <f>SUM(H49:H51)</f>
        <v>536635.91</v>
      </c>
      <c r="I52" s="81">
        <f>+F52+G52+H52</f>
        <v>15205768.41</v>
      </c>
      <c r="J52" s="81">
        <f t="shared" si="35"/>
        <v>74101.33837606838</v>
      </c>
      <c r="K52" s="81">
        <f t="shared" si="13"/>
        <v>51275.86247863248</v>
      </c>
      <c r="L52" s="81">
        <f t="shared" si="14"/>
        <v>4586.6317094017095</v>
      </c>
      <c r="M52" s="81">
        <f t="shared" si="15"/>
        <v>129963.83256410257</v>
      </c>
    </row>
    <row r="53" spans="1:14" ht="20.25" customHeight="1" thickTop="1">
      <c r="A53" s="82" t="s">
        <v>85</v>
      </c>
      <c r="B53" s="82" t="s">
        <v>80</v>
      </c>
      <c r="C53" s="82" t="s">
        <v>84</v>
      </c>
      <c r="D53" s="10">
        <f>58+199</f>
        <v>257</v>
      </c>
      <c r="E53" s="10">
        <f>44.64+139.25</f>
        <v>183.89</v>
      </c>
      <c r="F53" s="62">
        <f aca="true" t="shared" si="36" ref="F53:F58">(20730357.51+19219060.23)*E53/(124.78+570.42)</f>
        <v>10567172.652774166</v>
      </c>
      <c r="G53" s="62">
        <f aca="true" t="shared" si="37" ref="G53:G58">(12365841.66+11317976.59)*E53/(124.78+570.42)</f>
        <v>6264696.976398878</v>
      </c>
      <c r="H53" s="62">
        <f aca="true" t="shared" si="38" ref="H53:H58">(572864.36+1360232.84)*E53/(124.78+570.42)</f>
        <v>511330.90349252016</v>
      </c>
      <c r="I53" s="10">
        <f t="shared" si="4"/>
        <v>17343200.532665566</v>
      </c>
      <c r="J53" s="10">
        <f t="shared" si="35"/>
        <v>41117.40331818742</v>
      </c>
      <c r="K53" s="10">
        <f t="shared" si="13"/>
        <v>24376.252826454776</v>
      </c>
      <c r="L53" s="10">
        <f t="shared" si="14"/>
        <v>1989.614410476732</v>
      </c>
      <c r="M53" s="10">
        <f t="shared" si="15"/>
        <v>67483.27055511893</v>
      </c>
      <c r="N53" s="6"/>
    </row>
    <row r="54" spans="1:13" ht="20.25" customHeight="1">
      <c r="A54" s="44" t="s">
        <v>85</v>
      </c>
      <c r="B54" s="44" t="s">
        <v>80</v>
      </c>
      <c r="C54" s="44" t="s">
        <v>86</v>
      </c>
      <c r="D54" s="1">
        <f>108+111</f>
        <v>219</v>
      </c>
      <c r="E54" s="1">
        <f>77.94+83.11</f>
        <v>161.05</v>
      </c>
      <c r="F54" s="62">
        <f t="shared" si="36"/>
        <v>9254680.274779921</v>
      </c>
      <c r="G54" s="62">
        <f t="shared" si="37"/>
        <v>5486592.245630755</v>
      </c>
      <c r="H54" s="62">
        <f t="shared" si="38"/>
        <v>447821.20837169176</v>
      </c>
      <c r="I54" s="1">
        <f t="shared" si="4"/>
        <v>15189093.728782367</v>
      </c>
      <c r="J54" s="10">
        <f t="shared" si="35"/>
        <v>42258.81404009097</v>
      </c>
      <c r="K54" s="10">
        <f aca="true" t="shared" si="39" ref="K54:K59">+G54/D54</f>
        <v>25052.932628450937</v>
      </c>
      <c r="L54" s="10">
        <f>+H54/D54</f>
        <v>2044.8457003273595</v>
      </c>
      <c r="M54" s="10">
        <f>SUM(J54:L54)</f>
        <v>69356.59236886927</v>
      </c>
    </row>
    <row r="55" spans="1:13" ht="20.25" customHeight="1">
      <c r="A55" s="44" t="s">
        <v>85</v>
      </c>
      <c r="B55" s="44" t="s">
        <v>80</v>
      </c>
      <c r="C55" s="44" t="s">
        <v>87</v>
      </c>
      <c r="D55" s="1">
        <f>157+1</f>
        <v>158</v>
      </c>
      <c r="E55" s="1">
        <f>114.58+0.17</f>
        <v>114.75</v>
      </c>
      <c r="F55" s="62">
        <f t="shared" si="36"/>
        <v>6594067.441980725</v>
      </c>
      <c r="G55" s="62">
        <f t="shared" si="37"/>
        <v>3909260.851823217</v>
      </c>
      <c r="H55" s="62">
        <f t="shared" si="38"/>
        <v>319077.8246547757</v>
      </c>
      <c r="I55" s="1">
        <f t="shared" si="4"/>
        <v>10822406.118458718</v>
      </c>
      <c r="J55" s="10">
        <f t="shared" si="35"/>
        <v>41734.60406316914</v>
      </c>
      <c r="K55" s="10">
        <f t="shared" si="39"/>
        <v>24742.15729002036</v>
      </c>
      <c r="L55" s="10">
        <f>+H55/D55</f>
        <v>2019.479902878327</v>
      </c>
      <c r="M55" s="10">
        <f>SUM(J55:L55)</f>
        <v>68496.24125606783</v>
      </c>
    </row>
    <row r="56" spans="1:13" ht="20.25" customHeight="1">
      <c r="A56" s="44" t="s">
        <v>85</v>
      </c>
      <c r="B56" s="44" t="s">
        <v>80</v>
      </c>
      <c r="C56" s="44" t="s">
        <v>244</v>
      </c>
      <c r="D56" s="1">
        <v>31</v>
      </c>
      <c r="E56" s="1">
        <v>27.97</v>
      </c>
      <c r="F56" s="62">
        <f t="shared" si="36"/>
        <v>1607285.9812827965</v>
      </c>
      <c r="G56" s="62">
        <f t="shared" si="37"/>
        <v>952871.6864966917</v>
      </c>
      <c r="H56" s="62">
        <f t="shared" si="38"/>
        <v>77774.35081127734</v>
      </c>
      <c r="I56" s="1">
        <f t="shared" si="4"/>
        <v>2637932.0185907655</v>
      </c>
      <c r="J56" s="10">
        <f t="shared" si="35"/>
        <v>51847.93488009021</v>
      </c>
      <c r="K56" s="10">
        <f t="shared" si="39"/>
        <v>30737.796338602955</v>
      </c>
      <c r="L56" s="10">
        <f>+H56/D56</f>
        <v>2508.850026170237</v>
      </c>
      <c r="M56" s="10">
        <f>SUM(J56:L56)</f>
        <v>85094.58124486341</v>
      </c>
    </row>
    <row r="57" spans="1:13" ht="20.25" customHeight="1">
      <c r="A57" s="44" t="s">
        <v>85</v>
      </c>
      <c r="B57" s="44" t="s">
        <v>80</v>
      </c>
      <c r="C57" s="44" t="s">
        <v>273</v>
      </c>
      <c r="D57" s="1">
        <v>120</v>
      </c>
      <c r="E57" s="1">
        <v>91.31</v>
      </c>
      <c r="F57" s="62">
        <f t="shared" si="36"/>
        <v>5247096.279976123</v>
      </c>
      <c r="G57" s="62">
        <f t="shared" si="37"/>
        <v>3110715.541437716</v>
      </c>
      <c r="H57" s="62">
        <f t="shared" si="38"/>
        <v>253899.74875143848</v>
      </c>
      <c r="I57" s="1">
        <f t="shared" si="4"/>
        <v>8611711.570165278</v>
      </c>
      <c r="J57" s="10">
        <f t="shared" si="35"/>
        <v>43725.80233313436</v>
      </c>
      <c r="K57" s="10">
        <f t="shared" si="39"/>
        <v>25922.62951198097</v>
      </c>
      <c r="L57" s="10">
        <f>+H57/D57</f>
        <v>2115.8312395953208</v>
      </c>
      <c r="M57" s="10">
        <f>SUM(J57:L57)</f>
        <v>71764.26308471065</v>
      </c>
    </row>
    <row r="58" spans="1:13" ht="20.25" customHeight="1" thickBot="1">
      <c r="A58" s="78" t="s">
        <v>85</v>
      </c>
      <c r="B58" s="78" t="s">
        <v>80</v>
      </c>
      <c r="C58" s="78" t="s">
        <v>152</v>
      </c>
      <c r="D58" s="8">
        <v>129</v>
      </c>
      <c r="E58" s="8">
        <v>109.08</v>
      </c>
      <c r="F58" s="62">
        <f t="shared" si="36"/>
        <v>6268242.933082854</v>
      </c>
      <c r="G58" s="62">
        <f t="shared" si="37"/>
        <v>3716097.374439011</v>
      </c>
      <c r="H58" s="62">
        <f t="shared" si="38"/>
        <v>303311.6262600691</v>
      </c>
      <c r="I58" s="8">
        <f t="shared" si="4"/>
        <v>10287651.933781933</v>
      </c>
      <c r="J58" s="10">
        <f t="shared" si="35"/>
        <v>48591.030489014374</v>
      </c>
      <c r="K58" s="10">
        <f t="shared" si="39"/>
        <v>28806.956391000083</v>
      </c>
      <c r="L58" s="10">
        <f>+H58/D58</f>
        <v>2351.2529167447215</v>
      </c>
      <c r="M58" s="10">
        <f>SUM(J58:L58)</f>
        <v>79749.23979675918</v>
      </c>
    </row>
    <row r="59" spans="1:13" s="47" customFormat="1" ht="20.25" customHeight="1" thickBot="1" thickTop="1">
      <c r="A59" s="79"/>
      <c r="B59" s="79"/>
      <c r="C59" s="80" t="s">
        <v>161</v>
      </c>
      <c r="D59" s="81">
        <f>SUM(D53:D58)</f>
        <v>914</v>
      </c>
      <c r="E59" s="81">
        <f>SUM(E53:E58)</f>
        <v>688.0500000000001</v>
      </c>
      <c r="F59" s="81">
        <f>SUM(F53:F58)</f>
        <v>39538545.563876584</v>
      </c>
      <c r="G59" s="81">
        <f>SUM(G53:G58)</f>
        <v>23440234.67622627</v>
      </c>
      <c r="H59" s="81">
        <f>SUM(H53:H58)</f>
        <v>1913215.6623417726</v>
      </c>
      <c r="I59" s="81">
        <f t="shared" si="4"/>
        <v>64891995.90244463</v>
      </c>
      <c r="J59" s="81">
        <f t="shared" si="35"/>
        <v>43258.80258629823</v>
      </c>
      <c r="K59" s="81">
        <f t="shared" si="39"/>
        <v>25645.770980553905</v>
      </c>
      <c r="L59" s="81">
        <f t="shared" si="14"/>
        <v>2093.2337662382633</v>
      </c>
      <c r="M59" s="81">
        <f t="shared" si="15"/>
        <v>70997.8073330904</v>
      </c>
    </row>
    <row r="60" spans="1:14" ht="20.25" customHeight="1" thickTop="1">
      <c r="A60" s="82" t="s">
        <v>88</v>
      </c>
      <c r="B60" s="82" t="s">
        <v>80</v>
      </c>
      <c r="C60" s="82" t="s">
        <v>89</v>
      </c>
      <c r="D60" s="10">
        <v>8</v>
      </c>
      <c r="E60" s="10">
        <v>2.11</v>
      </c>
      <c r="F60" s="62">
        <f aca="true" t="shared" si="40" ref="F60:F69">(314138.25+58684127.45)*E60/(9.67+673.92)</f>
        <v>182106.73155985316</v>
      </c>
      <c r="G60" s="62">
        <f aca="true" t="shared" si="41" ref="G60:G68">(1676649.41+17138497.21)*E60/(9.67+673.92)</f>
        <v>58075.68771953949</v>
      </c>
      <c r="H60" s="62">
        <f aca="true" t="shared" si="42" ref="H60:H68">(311442.09+1556153.92)*E60/(9.67+673.92)</f>
        <v>5764.606827338024</v>
      </c>
      <c r="I60" s="10">
        <f>+F60+G60+H60</f>
        <v>245947.02610673066</v>
      </c>
      <c r="J60" s="10">
        <f t="shared" si="35"/>
        <v>22763.341444981645</v>
      </c>
      <c r="K60" s="10">
        <f t="shared" si="13"/>
        <v>7259.4609649424365</v>
      </c>
      <c r="L60" s="10">
        <f t="shared" si="14"/>
        <v>720.575853417253</v>
      </c>
      <c r="M60" s="10">
        <f t="shared" si="15"/>
        <v>30743.378263341332</v>
      </c>
      <c r="N60" s="6"/>
    </row>
    <row r="61" spans="1:13" ht="20.25" customHeight="1">
      <c r="A61" s="44" t="s">
        <v>88</v>
      </c>
      <c r="B61" s="44" t="s">
        <v>80</v>
      </c>
      <c r="C61" s="44" t="s">
        <v>90</v>
      </c>
      <c r="D61" s="1">
        <v>16</v>
      </c>
      <c r="E61" s="1">
        <v>12.75</v>
      </c>
      <c r="F61" s="62">
        <f t="shared" si="40"/>
        <v>1100407.9750654635</v>
      </c>
      <c r="G61" s="62">
        <f t="shared" si="41"/>
        <v>350931.2883526676</v>
      </c>
      <c r="H61" s="62">
        <f t="shared" si="42"/>
        <v>34833.5246675639</v>
      </c>
      <c r="I61" s="10">
        <f aca="true" t="shared" si="43" ref="I61:I68">+F61+G61+H61</f>
        <v>1486172.788085695</v>
      </c>
      <c r="J61" s="1">
        <f t="shared" si="35"/>
        <v>68775.49844159147</v>
      </c>
      <c r="K61" s="1">
        <f t="shared" si="13"/>
        <v>21933.205522041724</v>
      </c>
      <c r="L61" s="1">
        <f t="shared" si="14"/>
        <v>2177.0952917227437</v>
      </c>
      <c r="M61" s="1">
        <f t="shared" si="15"/>
        <v>92885.79925535593</v>
      </c>
    </row>
    <row r="62" spans="1:13" ht="20.25" customHeight="1">
      <c r="A62" s="44" t="s">
        <v>88</v>
      </c>
      <c r="B62" s="44" t="s">
        <v>80</v>
      </c>
      <c r="C62" s="44" t="s">
        <v>91</v>
      </c>
      <c r="D62" s="1">
        <v>32</v>
      </c>
      <c r="E62" s="1">
        <v>27.47</v>
      </c>
      <c r="F62" s="62">
        <f t="shared" si="40"/>
        <v>2370839.7705920218</v>
      </c>
      <c r="G62" s="62">
        <f t="shared" si="41"/>
        <v>756084.9012586493</v>
      </c>
      <c r="H62" s="62">
        <f t="shared" si="42"/>
        <v>75049.17040141021</v>
      </c>
      <c r="I62" s="10">
        <f t="shared" si="43"/>
        <v>3201973.8422520813</v>
      </c>
      <c r="J62" s="1">
        <f t="shared" si="35"/>
        <v>74088.74283100068</v>
      </c>
      <c r="K62" s="1">
        <f t="shared" si="13"/>
        <v>23627.65316433279</v>
      </c>
      <c r="L62" s="1">
        <f t="shared" si="14"/>
        <v>2345.286575044069</v>
      </c>
      <c r="M62" s="1">
        <f t="shared" si="15"/>
        <v>100061.68257037754</v>
      </c>
    </row>
    <row r="63" spans="1:13" ht="20.25" customHeight="1">
      <c r="A63" s="44" t="s">
        <v>88</v>
      </c>
      <c r="B63" s="44" t="s">
        <v>80</v>
      </c>
      <c r="C63" s="44" t="s">
        <v>92</v>
      </c>
      <c r="D63" s="1">
        <v>331</v>
      </c>
      <c r="E63" s="1">
        <f>245.44+9.67</f>
        <v>255.10999999999999</v>
      </c>
      <c r="F63" s="62">
        <f t="shared" si="40"/>
        <v>22017653.217172574</v>
      </c>
      <c r="G63" s="62">
        <f t="shared" si="41"/>
        <v>7021653.4095411</v>
      </c>
      <c r="H63" s="62">
        <f t="shared" si="42"/>
        <v>696971.0178778216</v>
      </c>
      <c r="I63" s="10">
        <f t="shared" si="43"/>
        <v>29736277.644591495</v>
      </c>
      <c r="J63" s="1">
        <f t="shared" si="35"/>
        <v>66518.58977997757</v>
      </c>
      <c r="K63" s="1">
        <f t="shared" si="13"/>
        <v>21213.45440948973</v>
      </c>
      <c r="L63" s="1">
        <f t="shared" si="14"/>
        <v>2105.6526219873763</v>
      </c>
      <c r="M63" s="1">
        <f t="shared" si="15"/>
        <v>89837.69681145468</v>
      </c>
    </row>
    <row r="64" spans="1:13" ht="20.25" customHeight="1">
      <c r="A64" s="44" t="s">
        <v>88</v>
      </c>
      <c r="B64" s="44" t="s">
        <v>80</v>
      </c>
      <c r="C64" s="44" t="s">
        <v>195</v>
      </c>
      <c r="D64" s="1">
        <v>32</v>
      </c>
      <c r="E64" s="1">
        <v>28.14</v>
      </c>
      <c r="F64" s="62">
        <f t="shared" si="40"/>
        <v>2428665.130850364</v>
      </c>
      <c r="G64" s="62">
        <f t="shared" si="41"/>
        <v>774525.9964112993</v>
      </c>
      <c r="H64" s="62">
        <f t="shared" si="42"/>
        <v>76879.63797217631</v>
      </c>
      <c r="I64" s="10">
        <f t="shared" si="43"/>
        <v>3280070.76523384</v>
      </c>
      <c r="J64" s="1">
        <f t="shared" si="35"/>
        <v>75895.78533907387</v>
      </c>
      <c r="K64" s="1">
        <f t="shared" si="13"/>
        <v>24203.937387853104</v>
      </c>
      <c r="L64" s="1">
        <f t="shared" si="14"/>
        <v>2402.4886866305096</v>
      </c>
      <c r="M64" s="1">
        <f t="shared" si="15"/>
        <v>102502.2114135575</v>
      </c>
    </row>
    <row r="65" spans="1:13" ht="20.25" customHeight="1">
      <c r="A65" s="44" t="s">
        <v>88</v>
      </c>
      <c r="B65" s="44" t="s">
        <v>93</v>
      </c>
      <c r="C65" s="44" t="s">
        <v>94</v>
      </c>
      <c r="D65" s="1">
        <v>146</v>
      </c>
      <c r="E65" s="1">
        <v>135.64</v>
      </c>
      <c r="F65" s="62">
        <f t="shared" si="40"/>
        <v>11706614.724539563</v>
      </c>
      <c r="G65" s="62">
        <f t="shared" si="41"/>
        <v>3733358.427620065</v>
      </c>
      <c r="H65" s="62">
        <f t="shared" si="42"/>
        <v>370574.06163987186</v>
      </c>
      <c r="I65" s="10">
        <f t="shared" si="43"/>
        <v>15810547.213799499</v>
      </c>
      <c r="J65" s="1">
        <f t="shared" si="35"/>
        <v>80182.29263383262</v>
      </c>
      <c r="K65" s="1">
        <f t="shared" si="13"/>
        <v>25570.948134384005</v>
      </c>
      <c r="L65" s="1">
        <f t="shared" si="14"/>
        <v>2538.178504382684</v>
      </c>
      <c r="M65" s="1">
        <f t="shared" si="15"/>
        <v>108291.4192725993</v>
      </c>
    </row>
    <row r="66" spans="1:13" ht="20.25" customHeight="1">
      <c r="A66" s="44" t="s">
        <v>88</v>
      </c>
      <c r="B66" s="44" t="s">
        <v>70</v>
      </c>
      <c r="C66" s="44" t="s">
        <v>240</v>
      </c>
      <c r="D66" s="1">
        <v>128</v>
      </c>
      <c r="E66" s="1">
        <v>123.78</v>
      </c>
      <c r="F66" s="62">
        <f t="shared" si="40"/>
        <v>10683019.541459063</v>
      </c>
      <c r="G66" s="62">
        <f t="shared" si="41"/>
        <v>3406923.5193955447</v>
      </c>
      <c r="H66" s="62">
        <f t="shared" si="42"/>
        <v>338172.0535961615</v>
      </c>
      <c r="I66" s="10">
        <f t="shared" si="43"/>
        <v>14428115.11445077</v>
      </c>
      <c r="J66" s="1">
        <f t="shared" si="35"/>
        <v>83461.09016764893</v>
      </c>
      <c r="K66" s="1">
        <f t="shared" si="13"/>
        <v>26616.589995277693</v>
      </c>
      <c r="L66" s="1">
        <f t="shared" si="14"/>
        <v>2641.9691687200116</v>
      </c>
      <c r="M66" s="1">
        <f t="shared" si="15"/>
        <v>112719.64933164664</v>
      </c>
    </row>
    <row r="67" spans="1:13" ht="20.25" customHeight="1">
      <c r="A67" s="44" t="s">
        <v>88</v>
      </c>
      <c r="B67" s="44" t="s">
        <v>70</v>
      </c>
      <c r="C67" s="44" t="s">
        <v>76</v>
      </c>
      <c r="D67" s="1">
        <v>29</v>
      </c>
      <c r="E67" s="1">
        <v>2.42</v>
      </c>
      <c r="F67" s="62">
        <f t="shared" si="40"/>
        <v>208861.7489928174</v>
      </c>
      <c r="G67" s="62">
        <f t="shared" si="41"/>
        <v>66608.1347304671</v>
      </c>
      <c r="H67" s="62">
        <f t="shared" si="42"/>
        <v>6611.539583961147</v>
      </c>
      <c r="I67" s="10">
        <f t="shared" si="43"/>
        <v>282081.4233072456</v>
      </c>
      <c r="J67" s="1">
        <f t="shared" si="35"/>
        <v>7202.129275614393</v>
      </c>
      <c r="K67" s="1">
        <f t="shared" si="13"/>
        <v>2296.8322320850725</v>
      </c>
      <c r="L67" s="1">
        <f t="shared" si="14"/>
        <v>227.98412358486715</v>
      </c>
      <c r="M67" s="1">
        <f t="shared" si="15"/>
        <v>9726.945631284332</v>
      </c>
    </row>
    <row r="68" spans="1:13" ht="20.25" customHeight="1" thickBot="1">
      <c r="A68" s="78" t="s">
        <v>88</v>
      </c>
      <c r="B68" s="78" t="s">
        <v>95</v>
      </c>
      <c r="C68" s="78" t="s">
        <v>96</v>
      </c>
      <c r="D68" s="8">
        <v>121</v>
      </c>
      <c r="E68" s="8">
        <v>96.17</v>
      </c>
      <c r="F68" s="62">
        <f t="shared" si="40"/>
        <v>8300096.859768284</v>
      </c>
      <c r="G68" s="62">
        <f t="shared" si="41"/>
        <v>2646985.25497067</v>
      </c>
      <c r="H68" s="62">
        <f t="shared" si="42"/>
        <v>262740.3974336957</v>
      </c>
      <c r="I68" s="10">
        <f t="shared" si="43"/>
        <v>11209822.51217265</v>
      </c>
      <c r="J68" s="8">
        <f t="shared" si="35"/>
        <v>68595.84181626681</v>
      </c>
      <c r="K68" s="8">
        <f t="shared" si="13"/>
        <v>21875.911198104714</v>
      </c>
      <c r="L68" s="8">
        <f t="shared" si="14"/>
        <v>2171.4082432536834</v>
      </c>
      <c r="M68" s="8">
        <f t="shared" si="15"/>
        <v>92643.16125762521</v>
      </c>
    </row>
    <row r="69" spans="1:13" s="47" customFormat="1" ht="20.25" customHeight="1" thickBot="1" thickTop="1">
      <c r="A69" s="79"/>
      <c r="B69" s="79"/>
      <c r="C69" s="80" t="s">
        <v>162</v>
      </c>
      <c r="D69" s="81">
        <f>SUM(D60:D68)</f>
        <v>843</v>
      </c>
      <c r="E69" s="81">
        <f>SUM(E60:E68)</f>
        <v>683.5899999999999</v>
      </c>
      <c r="F69" s="62">
        <f t="shared" si="40"/>
        <v>58998265.7</v>
      </c>
      <c r="G69" s="81">
        <f>SUM(G60:G68)</f>
        <v>18815146.620000005</v>
      </c>
      <c r="H69" s="81">
        <f>SUM(H60:H68)</f>
        <v>1867596.0100000002</v>
      </c>
      <c r="I69" s="81">
        <f>+F69+G69+H69</f>
        <v>79681008.33000001</v>
      </c>
      <c r="J69" s="81">
        <f t="shared" si="35"/>
        <v>69986.0803084223</v>
      </c>
      <c r="K69" s="81">
        <f t="shared" si="13"/>
        <v>22319.272384341642</v>
      </c>
      <c r="L69" s="81">
        <f t="shared" si="14"/>
        <v>2215.416381969158</v>
      </c>
      <c r="M69" s="81">
        <f t="shared" si="15"/>
        <v>94520.7690747331</v>
      </c>
    </row>
    <row r="70" spans="1:13" ht="20.25" customHeight="1" thickTop="1">
      <c r="A70" s="82" t="s">
        <v>97</v>
      </c>
      <c r="B70" s="82" t="s">
        <v>80</v>
      </c>
      <c r="C70" s="82" t="s">
        <v>203</v>
      </c>
      <c r="D70" s="10">
        <v>121</v>
      </c>
      <c r="E70" s="10">
        <v>89.67</v>
      </c>
      <c r="F70" s="10">
        <f aca="true" t="shared" si="44" ref="F70:F79">35122800.05*E70/342.45</f>
        <v>9196850.578138415</v>
      </c>
      <c r="G70" s="10">
        <f aca="true" t="shared" si="45" ref="G70:G79">11836001.52*E70/342.45</f>
        <v>3099238.593366623</v>
      </c>
      <c r="H70" s="10">
        <f aca="true" t="shared" si="46" ref="H70:H79">780591.03*E70/342.45</f>
        <v>204396.5474086728</v>
      </c>
      <c r="I70" s="10">
        <f t="shared" si="4"/>
        <v>12500485.71891371</v>
      </c>
      <c r="J70" s="10">
        <f t="shared" si="35"/>
        <v>76007.02957139186</v>
      </c>
      <c r="K70" s="10">
        <f t="shared" si="13"/>
        <v>25613.54209393903</v>
      </c>
      <c r="L70" s="10">
        <f t="shared" si="14"/>
        <v>1689.227664534486</v>
      </c>
      <c r="M70" s="10">
        <f t="shared" si="15"/>
        <v>103309.79932986537</v>
      </c>
    </row>
    <row r="71" spans="1:13" ht="20.25" customHeight="1">
      <c r="A71" s="44" t="s">
        <v>97</v>
      </c>
      <c r="B71" s="44" t="s">
        <v>80</v>
      </c>
      <c r="C71" s="44" t="s">
        <v>204</v>
      </c>
      <c r="D71" s="1">
        <v>67</v>
      </c>
      <c r="E71" s="1">
        <v>45.75</v>
      </c>
      <c r="F71" s="10">
        <f t="shared" si="44"/>
        <v>4692270.703131844</v>
      </c>
      <c r="G71" s="10">
        <f t="shared" si="45"/>
        <v>1581244.1802890932</v>
      </c>
      <c r="H71" s="10">
        <f t="shared" si="46"/>
        <v>104283.95275952695</v>
      </c>
      <c r="I71" s="1">
        <f t="shared" si="4"/>
        <v>6377798.836180464</v>
      </c>
      <c r="J71" s="1">
        <f t="shared" si="35"/>
        <v>70033.89109152007</v>
      </c>
      <c r="K71" s="1">
        <f t="shared" si="13"/>
        <v>23600.6594072999</v>
      </c>
      <c r="L71" s="1">
        <f t="shared" si="14"/>
        <v>1556.476906858611</v>
      </c>
      <c r="M71" s="1">
        <f t="shared" si="15"/>
        <v>95191.02740567859</v>
      </c>
    </row>
    <row r="72" spans="1:13" ht="20.25" customHeight="1">
      <c r="A72" s="44" t="s">
        <v>97</v>
      </c>
      <c r="B72" s="44" t="s">
        <v>80</v>
      </c>
      <c r="C72" s="44" t="s">
        <v>245</v>
      </c>
      <c r="D72" s="1">
        <v>66</v>
      </c>
      <c r="E72" s="1">
        <v>62.89</v>
      </c>
      <c r="F72" s="10">
        <f t="shared" si="44"/>
        <v>6450205.56327785</v>
      </c>
      <c r="G72" s="10">
        <f t="shared" si="45"/>
        <v>2173649.1037897505</v>
      </c>
      <c r="H72" s="10">
        <f t="shared" si="46"/>
        <v>143353.39429610161</v>
      </c>
      <c r="I72" s="1">
        <f t="shared" si="4"/>
        <v>8767208.061363703</v>
      </c>
      <c r="J72" s="1">
        <f t="shared" si="35"/>
        <v>97730.38732239166</v>
      </c>
      <c r="K72" s="1">
        <f t="shared" si="13"/>
        <v>32934.07733014773</v>
      </c>
      <c r="L72" s="1">
        <f t="shared" si="14"/>
        <v>2172.0211256985094</v>
      </c>
      <c r="M72" s="1">
        <f t="shared" si="15"/>
        <v>132836.4857782379</v>
      </c>
    </row>
    <row r="73" spans="1:13" ht="20.25" customHeight="1">
      <c r="A73" s="44" t="s">
        <v>97</v>
      </c>
      <c r="B73" s="44" t="s">
        <v>276</v>
      </c>
      <c r="C73" s="44" t="s">
        <v>196</v>
      </c>
      <c r="D73" s="1">
        <v>73</v>
      </c>
      <c r="E73" s="1">
        <v>64.33</v>
      </c>
      <c r="F73" s="10">
        <f t="shared" si="44"/>
        <v>6597896.706720688</v>
      </c>
      <c r="G73" s="10">
        <f t="shared" si="45"/>
        <v>2223419.412415243</v>
      </c>
      <c r="H73" s="10">
        <f t="shared" si="46"/>
        <v>146635.77444853264</v>
      </c>
      <c r="I73" s="1">
        <f aca="true" t="shared" si="47" ref="I73:I135">+F73+G73+H73</f>
        <v>8967951.893584464</v>
      </c>
      <c r="J73" s="1">
        <f t="shared" si="35"/>
        <v>90382.14666740669</v>
      </c>
      <c r="K73" s="1">
        <f t="shared" si="13"/>
        <v>30457.800170071823</v>
      </c>
      <c r="L73" s="1">
        <f t="shared" si="14"/>
        <v>2008.709239020995</v>
      </c>
      <c r="M73" s="1">
        <f t="shared" si="15"/>
        <v>122848.65607649952</v>
      </c>
    </row>
    <row r="74" spans="1:13" ht="20.25" customHeight="1">
      <c r="A74" s="44" t="s">
        <v>97</v>
      </c>
      <c r="B74" s="44" t="s">
        <v>276</v>
      </c>
      <c r="C74" s="44" t="s">
        <v>197</v>
      </c>
      <c r="D74" s="1">
        <v>2</v>
      </c>
      <c r="E74" s="1">
        <v>0.33</v>
      </c>
      <c r="F74" s="10">
        <f t="shared" si="44"/>
        <v>33845.8870389838</v>
      </c>
      <c r="G74" s="10">
        <f t="shared" si="45"/>
        <v>11405.695726675427</v>
      </c>
      <c r="H74" s="10">
        <f t="shared" si="46"/>
        <v>752.2121182654404</v>
      </c>
      <c r="I74" s="1">
        <f t="shared" si="47"/>
        <v>46003.79488392466</v>
      </c>
      <c r="J74" s="1">
        <f aca="true" t="shared" si="48" ref="J74:J138">+F74/D74</f>
        <v>16922.9435194919</v>
      </c>
      <c r="K74" s="1">
        <f aca="true" t="shared" si="49" ref="K74:K138">+G74/D74</f>
        <v>5702.8478633377135</v>
      </c>
      <c r="L74" s="1">
        <f aca="true" t="shared" si="50" ref="L74:L138">+H74/D74</f>
        <v>376.1060591327202</v>
      </c>
      <c r="M74" s="1">
        <f aca="true" t="shared" si="51" ref="M74:M138">SUM(J74:L74)</f>
        <v>23001.89744196233</v>
      </c>
    </row>
    <row r="75" spans="1:13" ht="20.25" customHeight="1">
      <c r="A75" s="44" t="s">
        <v>97</v>
      </c>
      <c r="B75" s="44" t="s">
        <v>276</v>
      </c>
      <c r="C75" s="44" t="s">
        <v>198</v>
      </c>
      <c r="D75" s="1">
        <v>3</v>
      </c>
      <c r="E75" s="1">
        <v>0.5</v>
      </c>
      <c r="F75" s="10">
        <f t="shared" si="44"/>
        <v>51281.64702876332</v>
      </c>
      <c r="G75" s="10">
        <f t="shared" si="45"/>
        <v>17281.357161629436</v>
      </c>
      <c r="H75" s="10">
        <f t="shared" si="46"/>
        <v>1139.7153307052124</v>
      </c>
      <c r="I75" s="1">
        <f t="shared" si="47"/>
        <v>69702.71952109797</v>
      </c>
      <c r="J75" s="1">
        <f t="shared" si="48"/>
        <v>17093.882342921108</v>
      </c>
      <c r="K75" s="1">
        <f t="shared" si="49"/>
        <v>5760.452387209812</v>
      </c>
      <c r="L75" s="1">
        <f t="shared" si="50"/>
        <v>379.9051102350708</v>
      </c>
      <c r="M75" s="1">
        <f t="shared" si="51"/>
        <v>23234.23984036599</v>
      </c>
    </row>
    <row r="76" spans="1:13" ht="20.25" customHeight="1">
      <c r="A76" s="44" t="s">
        <v>97</v>
      </c>
      <c r="B76" s="44" t="s">
        <v>276</v>
      </c>
      <c r="C76" s="44" t="s">
        <v>227</v>
      </c>
      <c r="D76" s="1">
        <v>66</v>
      </c>
      <c r="E76" s="1">
        <v>55.31</v>
      </c>
      <c r="F76" s="10">
        <f t="shared" si="44"/>
        <v>5672775.794321799</v>
      </c>
      <c r="G76" s="10">
        <f t="shared" si="45"/>
        <v>1911663.7292194483</v>
      </c>
      <c r="H76" s="10">
        <f t="shared" si="46"/>
        <v>126075.3098826106</v>
      </c>
      <c r="I76" s="1">
        <f t="shared" si="47"/>
        <v>7710514.8334238585</v>
      </c>
      <c r="J76" s="1">
        <f t="shared" si="48"/>
        <v>85951.14839881513</v>
      </c>
      <c r="K76" s="1">
        <f t="shared" si="49"/>
        <v>28964.60195787043</v>
      </c>
      <c r="L76" s="1">
        <f t="shared" si="50"/>
        <v>1910.2319679183424</v>
      </c>
      <c r="M76" s="1">
        <f t="shared" si="51"/>
        <v>116825.9823246039</v>
      </c>
    </row>
    <row r="77" spans="1:13" ht="20.25" customHeight="1">
      <c r="A77" s="44" t="s">
        <v>97</v>
      </c>
      <c r="B77" s="44" t="s">
        <v>276</v>
      </c>
      <c r="C77" s="44" t="s">
        <v>199</v>
      </c>
      <c r="D77" s="1">
        <v>13</v>
      </c>
      <c r="E77" s="1">
        <v>4.58</v>
      </c>
      <c r="F77" s="10">
        <f t="shared" si="44"/>
        <v>469739.8867834721</v>
      </c>
      <c r="G77" s="10">
        <f t="shared" si="45"/>
        <v>158297.2316005256</v>
      </c>
      <c r="H77" s="10">
        <f t="shared" si="46"/>
        <v>10439.792429259747</v>
      </c>
      <c r="I77" s="1">
        <f t="shared" si="47"/>
        <v>638476.9108132574</v>
      </c>
      <c r="J77" s="1">
        <f t="shared" si="48"/>
        <v>36133.83744488247</v>
      </c>
      <c r="K77" s="1">
        <f t="shared" si="49"/>
        <v>12176.710123117355</v>
      </c>
      <c r="L77" s="1">
        <f t="shared" si="50"/>
        <v>803.0609560969036</v>
      </c>
      <c r="M77" s="1">
        <f t="shared" si="51"/>
        <v>49113.60852409672</v>
      </c>
    </row>
    <row r="78" spans="1:13" ht="20.25" customHeight="1">
      <c r="A78" s="44" t="s">
        <v>97</v>
      </c>
      <c r="B78" s="44" t="s">
        <v>276</v>
      </c>
      <c r="C78" s="44" t="s">
        <v>200</v>
      </c>
      <c r="D78" s="1">
        <v>12</v>
      </c>
      <c r="E78" s="1">
        <v>1.92</v>
      </c>
      <c r="F78" s="10">
        <f t="shared" si="44"/>
        <v>196921.52459045112</v>
      </c>
      <c r="G78" s="10">
        <f t="shared" si="45"/>
        <v>66360.41150065702</v>
      </c>
      <c r="H78" s="10">
        <f t="shared" si="46"/>
        <v>4376.506869908016</v>
      </c>
      <c r="I78" s="1">
        <f t="shared" si="47"/>
        <v>267658.44296101615</v>
      </c>
      <c r="J78" s="1">
        <f t="shared" si="48"/>
        <v>16410.12704920426</v>
      </c>
      <c r="K78" s="1">
        <f t="shared" si="49"/>
        <v>5530.034291721418</v>
      </c>
      <c r="L78" s="1">
        <f t="shared" si="50"/>
        <v>364.70890582566796</v>
      </c>
      <c r="M78" s="1">
        <f t="shared" si="51"/>
        <v>22304.870246751347</v>
      </c>
    </row>
    <row r="79" spans="1:13" ht="20.25" customHeight="1" thickBot="1">
      <c r="A79" s="78" t="s">
        <v>97</v>
      </c>
      <c r="B79" s="78" t="s">
        <v>276</v>
      </c>
      <c r="C79" s="78" t="s">
        <v>201</v>
      </c>
      <c r="D79" s="8">
        <v>15</v>
      </c>
      <c r="E79" s="8">
        <v>16.11</v>
      </c>
      <c r="F79" s="10">
        <f t="shared" si="44"/>
        <v>1652294.667266754</v>
      </c>
      <c r="G79" s="10">
        <f t="shared" si="45"/>
        <v>556805.3277477004</v>
      </c>
      <c r="H79" s="10">
        <f t="shared" si="46"/>
        <v>36721.62795532195</v>
      </c>
      <c r="I79" s="8">
        <f t="shared" si="47"/>
        <v>2245821.6229697764</v>
      </c>
      <c r="J79" s="8">
        <f t="shared" si="48"/>
        <v>110152.9778177836</v>
      </c>
      <c r="K79" s="8">
        <f t="shared" si="49"/>
        <v>37120.35518318003</v>
      </c>
      <c r="L79" s="8">
        <f t="shared" si="50"/>
        <v>2448.1085303547966</v>
      </c>
      <c r="M79" s="8">
        <f t="shared" si="51"/>
        <v>149721.4415313184</v>
      </c>
    </row>
    <row r="80" spans="1:14" s="47" customFormat="1" ht="20.25" customHeight="1" thickBot="1" thickTop="1">
      <c r="A80" s="79"/>
      <c r="B80" s="79"/>
      <c r="C80" s="80" t="s">
        <v>162</v>
      </c>
      <c r="D80" s="81">
        <f>SUM(D70:D79)</f>
        <v>438</v>
      </c>
      <c r="E80" s="81">
        <f>SUM(E70:E79)</f>
        <v>341.39</v>
      </c>
      <c r="F80" s="81">
        <f>SUM(F70:F79)</f>
        <v>35014082.95829902</v>
      </c>
      <c r="G80" s="81">
        <f>SUM(G70:G79)</f>
        <v>11799365.042817347</v>
      </c>
      <c r="H80" s="81">
        <f>SUM(H70:H79)</f>
        <v>778174.833498905</v>
      </c>
      <c r="I80" s="81">
        <f t="shared" si="47"/>
        <v>47591622.83461527</v>
      </c>
      <c r="J80" s="81">
        <f t="shared" si="48"/>
        <v>79940.82867191557</v>
      </c>
      <c r="K80" s="81">
        <f t="shared" si="49"/>
        <v>26939.189595473395</v>
      </c>
      <c r="L80" s="81">
        <f t="shared" si="50"/>
        <v>1776.654871002066</v>
      </c>
      <c r="M80" s="81">
        <f t="shared" si="51"/>
        <v>108656.67313839104</v>
      </c>
      <c r="N80" s="77"/>
    </row>
    <row r="81" spans="1:13" s="147" customFormat="1" ht="21.75" customHeight="1" thickTop="1">
      <c r="A81" s="84" t="s">
        <v>225</v>
      </c>
      <c r="B81" s="83" t="s">
        <v>99</v>
      </c>
      <c r="C81" s="83" t="s">
        <v>241</v>
      </c>
      <c r="D81" s="172">
        <v>61</v>
      </c>
      <c r="E81" s="172">
        <v>45.86</v>
      </c>
      <c r="F81" s="62">
        <f aca="true" t="shared" si="52" ref="F81:F87">23304408.84*E81/426.87</f>
        <v>2503666.665266709</v>
      </c>
      <c r="G81" s="62">
        <f>8680280.37*E81/426.87</f>
        <v>932550.0919910042</v>
      </c>
      <c r="H81" s="62">
        <f>973020.57*E81/426.87</f>
        <v>104534.69051514512</v>
      </c>
      <c r="I81" s="10">
        <f t="shared" si="47"/>
        <v>3540751.447772858</v>
      </c>
      <c r="J81" s="10">
        <f t="shared" si="48"/>
        <v>41043.71582404441</v>
      </c>
      <c r="K81" s="10">
        <f t="shared" si="49"/>
        <v>15287.706426082035</v>
      </c>
      <c r="L81" s="10">
        <f t="shared" si="50"/>
        <v>1713.6834510679528</v>
      </c>
      <c r="M81" s="10">
        <f t="shared" si="51"/>
        <v>58045.1057011944</v>
      </c>
    </row>
    <row r="82" spans="1:13" s="147" customFormat="1" ht="21.75" customHeight="1">
      <c r="A82" s="84" t="s">
        <v>225</v>
      </c>
      <c r="B82" s="46" t="s">
        <v>99</v>
      </c>
      <c r="C82" s="46" t="s">
        <v>228</v>
      </c>
      <c r="D82" s="13">
        <v>55</v>
      </c>
      <c r="E82" s="13">
        <v>47.67</v>
      </c>
      <c r="F82" s="62">
        <f t="shared" si="52"/>
        <v>2602481.245819102</v>
      </c>
      <c r="G82" s="62">
        <f aca="true" t="shared" si="53" ref="G82:G87">8680280.37*E82/426.87</f>
        <v>969355.9285916085</v>
      </c>
      <c r="H82" s="62">
        <f aca="true" t="shared" si="54" ref="H82:H87">973020.57*E82/426.87</f>
        <v>108660.46002740882</v>
      </c>
      <c r="I82" s="10">
        <f t="shared" si="47"/>
        <v>3680497.6344381194</v>
      </c>
      <c r="J82" s="1">
        <f t="shared" si="48"/>
        <v>47317.84083307458</v>
      </c>
      <c r="K82" s="1">
        <f t="shared" si="49"/>
        <v>17624.653247120154</v>
      </c>
      <c r="L82" s="1">
        <f t="shared" si="50"/>
        <v>1975.6447277710693</v>
      </c>
      <c r="M82" s="1">
        <f t="shared" si="51"/>
        <v>66918.1388079658</v>
      </c>
    </row>
    <row r="83" spans="1:13" s="147" customFormat="1" ht="21.75" customHeight="1">
      <c r="A83" s="84" t="s">
        <v>225</v>
      </c>
      <c r="B83" s="46" t="s">
        <v>99</v>
      </c>
      <c r="C83" s="46" t="s">
        <v>229</v>
      </c>
      <c r="D83" s="13">
        <v>217</v>
      </c>
      <c r="E83" s="13">
        <v>198.97</v>
      </c>
      <c r="F83" s="62">
        <f t="shared" si="52"/>
        <v>10862506.68094455</v>
      </c>
      <c r="G83" s="62">
        <f t="shared" si="53"/>
        <v>4045998.512940473</v>
      </c>
      <c r="H83" s="62">
        <f t="shared" si="54"/>
        <v>453538.3203619368</v>
      </c>
      <c r="I83" s="10">
        <f t="shared" si="47"/>
        <v>15362043.514246961</v>
      </c>
      <c r="J83" s="1">
        <f>+F83/D83</f>
        <v>50057.63447439885</v>
      </c>
      <c r="K83" s="1">
        <f>+G83/D83</f>
        <v>18645.154437513702</v>
      </c>
      <c r="L83" s="1">
        <f>+H83/D83</f>
        <v>2090.0383426817366</v>
      </c>
      <c r="M83" s="1">
        <f>SUM(J83:L83)</f>
        <v>70792.8272545943</v>
      </c>
    </row>
    <row r="84" spans="1:13" s="147" customFormat="1" ht="21.75" customHeight="1">
      <c r="A84" s="84" t="s">
        <v>225</v>
      </c>
      <c r="B84" s="46" t="s">
        <v>99</v>
      </c>
      <c r="C84" s="46" t="s">
        <v>313</v>
      </c>
      <c r="D84" s="13">
        <v>37</v>
      </c>
      <c r="E84" s="13">
        <v>16.17</v>
      </c>
      <c r="F84" s="62">
        <f t="shared" si="52"/>
        <v>882779.9820619862</v>
      </c>
      <c r="G84" s="62">
        <f t="shared" si="53"/>
        <v>328812.3634429686</v>
      </c>
      <c r="H84" s="62">
        <f t="shared" si="54"/>
        <v>36858.39393000211</v>
      </c>
      <c r="I84" s="10">
        <f t="shared" si="47"/>
        <v>1248450.739434957</v>
      </c>
      <c r="J84" s="1">
        <f>+F84/D84</f>
        <v>23858.918434107734</v>
      </c>
      <c r="K84" s="1">
        <f>+G84/D84</f>
        <v>8886.820633593745</v>
      </c>
      <c r="L84" s="1">
        <f>+H84/D84</f>
        <v>996.1728089189759</v>
      </c>
      <c r="M84" s="1">
        <f>SUM(J84:L84)</f>
        <v>33741.911876620456</v>
      </c>
    </row>
    <row r="85" spans="1:13" s="147" customFormat="1" ht="21.75" customHeight="1">
      <c r="A85" s="84" t="s">
        <v>225</v>
      </c>
      <c r="B85" s="68" t="s">
        <v>276</v>
      </c>
      <c r="C85" s="46" t="s">
        <v>153</v>
      </c>
      <c r="D85" s="13">
        <v>132</v>
      </c>
      <c r="E85" s="13">
        <v>111.86</v>
      </c>
      <c r="F85" s="62">
        <f t="shared" si="52"/>
        <v>6106850.265519713</v>
      </c>
      <c r="G85" s="62">
        <f t="shared" si="53"/>
        <v>2274641.3713500593</v>
      </c>
      <c r="H85" s="62">
        <f t="shared" si="54"/>
        <v>254977.11471923537</v>
      </c>
      <c r="I85" s="10">
        <f t="shared" si="47"/>
        <v>8636468.751589008</v>
      </c>
      <c r="J85" s="1">
        <f>+F85/D85</f>
        <v>46264.017163028126</v>
      </c>
      <c r="K85" s="1">
        <f>+G85/D85</f>
        <v>17232.131601136814</v>
      </c>
      <c r="L85" s="1">
        <f>+H85/D85</f>
        <v>1931.6448084790559</v>
      </c>
      <c r="M85" s="1">
        <f>SUM(J85:L85)</f>
        <v>65427.793572644</v>
      </c>
    </row>
    <row r="86" spans="1:13" s="147" customFormat="1" ht="21.75" customHeight="1">
      <c r="A86" s="84" t="s">
        <v>225</v>
      </c>
      <c r="B86" s="68" t="s">
        <v>276</v>
      </c>
      <c r="C86" s="46" t="s">
        <v>154</v>
      </c>
      <c r="D86" s="13">
        <f>16+8</f>
        <v>24</v>
      </c>
      <c r="E86" s="13">
        <v>2.67</v>
      </c>
      <c r="F86" s="62">
        <f t="shared" si="52"/>
        <v>145765.1547375079</v>
      </c>
      <c r="G86" s="62">
        <f t="shared" si="53"/>
        <v>54293.692664979964</v>
      </c>
      <c r="H86" s="62">
        <f t="shared" si="54"/>
        <v>6086.079888256378</v>
      </c>
      <c r="I86" s="10">
        <f t="shared" si="47"/>
        <v>206144.92729074424</v>
      </c>
      <c r="J86" s="1">
        <f>+F86/D86</f>
        <v>6073.548114062829</v>
      </c>
      <c r="K86" s="1">
        <f>+G86/D86</f>
        <v>2262.237194374165</v>
      </c>
      <c r="L86" s="1">
        <f>+H86/D86</f>
        <v>253.5866620106824</v>
      </c>
      <c r="M86" s="1">
        <f>SUM(J86:L86)</f>
        <v>8589.371970447677</v>
      </c>
    </row>
    <row r="87" spans="1:13" s="147" customFormat="1" ht="21.75" customHeight="1" thickBot="1">
      <c r="A87" s="84" t="s">
        <v>225</v>
      </c>
      <c r="B87" s="68" t="s">
        <v>276</v>
      </c>
      <c r="C87" s="46" t="s">
        <v>236</v>
      </c>
      <c r="D87" s="13">
        <v>9</v>
      </c>
      <c r="E87" s="13">
        <v>3.67</v>
      </c>
      <c r="F87" s="62">
        <f t="shared" si="52"/>
        <v>200358.84565043222</v>
      </c>
      <c r="G87" s="62">
        <f t="shared" si="53"/>
        <v>74628.40901890505</v>
      </c>
      <c r="H87" s="62">
        <f t="shared" si="54"/>
        <v>8365.51055801532</v>
      </c>
      <c r="I87" s="10">
        <f t="shared" si="47"/>
        <v>283352.7652273526</v>
      </c>
      <c r="J87" s="8">
        <f t="shared" si="48"/>
        <v>22262.093961159135</v>
      </c>
      <c r="K87" s="8">
        <f t="shared" si="49"/>
        <v>8292.045446545006</v>
      </c>
      <c r="L87" s="8">
        <f t="shared" si="50"/>
        <v>929.5011731128133</v>
      </c>
      <c r="M87" s="8">
        <f t="shared" si="51"/>
        <v>31483.640580816955</v>
      </c>
    </row>
    <row r="88" spans="1:13" s="47" customFormat="1" ht="20.25" customHeight="1" thickBot="1" thickTop="1">
      <c r="A88" s="79"/>
      <c r="B88" s="79"/>
      <c r="C88" s="80" t="s">
        <v>163</v>
      </c>
      <c r="D88" s="81">
        <f>SUM(D81:D87)</f>
        <v>535</v>
      </c>
      <c r="E88" s="81">
        <f>SUM(E81:E87)</f>
        <v>426.87000000000006</v>
      </c>
      <c r="F88" s="81">
        <f>SUM(F81:F87)</f>
        <v>23304408.839999996</v>
      </c>
      <c r="G88" s="81">
        <f>SUM(G81:G87)</f>
        <v>8680280.37</v>
      </c>
      <c r="H88" s="81">
        <f>SUM(H81:H87)</f>
        <v>973020.5699999998</v>
      </c>
      <c r="I88" s="81">
        <f>+F88+G88+H88</f>
        <v>32957709.779999994</v>
      </c>
      <c r="J88" s="81">
        <f t="shared" si="48"/>
        <v>43559.64269158878</v>
      </c>
      <c r="K88" s="81">
        <f t="shared" si="49"/>
        <v>16224.823121495325</v>
      </c>
      <c r="L88" s="81">
        <f t="shared" si="50"/>
        <v>1818.7300373831772</v>
      </c>
      <c r="M88" s="81">
        <f t="shared" si="51"/>
        <v>61603.19585046728</v>
      </c>
    </row>
    <row r="89" spans="1:13" ht="20.25" customHeight="1" thickBot="1" thickTop="1">
      <c r="A89" s="85" t="s">
        <v>101</v>
      </c>
      <c r="B89" s="85" t="s">
        <v>182</v>
      </c>
      <c r="C89" s="85" t="s">
        <v>100</v>
      </c>
      <c r="D89" s="86">
        <v>245</v>
      </c>
      <c r="E89" s="86">
        <v>258.56</v>
      </c>
      <c r="F89" s="106">
        <v>32040959.52</v>
      </c>
      <c r="G89" s="106">
        <v>19302172.94</v>
      </c>
      <c r="H89" s="106">
        <v>1844891.44</v>
      </c>
      <c r="I89" s="86">
        <f t="shared" si="47"/>
        <v>53188023.9</v>
      </c>
      <c r="J89" s="86">
        <f t="shared" si="48"/>
        <v>130779.42661224489</v>
      </c>
      <c r="K89" s="86">
        <f t="shared" si="49"/>
        <v>78784.37934693877</v>
      </c>
      <c r="L89" s="86">
        <f t="shared" si="50"/>
        <v>7530.169142857143</v>
      </c>
      <c r="M89" s="86">
        <f t="shared" si="51"/>
        <v>217093.9751020408</v>
      </c>
    </row>
    <row r="90" spans="1:13" s="47" customFormat="1" ht="20.25" customHeight="1" thickBot="1" thickTop="1">
      <c r="A90" s="79"/>
      <c r="B90" s="79"/>
      <c r="C90" s="80" t="s">
        <v>164</v>
      </c>
      <c r="D90" s="81">
        <f>SUM(D89)</f>
        <v>245</v>
      </c>
      <c r="E90" s="81">
        <f>SUM(E89)</f>
        <v>258.56</v>
      </c>
      <c r="F90" s="81">
        <f>SUM(F89)</f>
        <v>32040959.52</v>
      </c>
      <c r="G90" s="81">
        <f>SUM(G89)</f>
        <v>19302172.94</v>
      </c>
      <c r="H90" s="81">
        <f>SUM(H89)</f>
        <v>1844891.44</v>
      </c>
      <c r="I90" s="81">
        <f t="shared" si="47"/>
        <v>53188023.9</v>
      </c>
      <c r="J90" s="81">
        <f t="shared" si="48"/>
        <v>130779.42661224489</v>
      </c>
      <c r="K90" s="81">
        <f t="shared" si="49"/>
        <v>78784.37934693877</v>
      </c>
      <c r="L90" s="81">
        <f t="shared" si="50"/>
        <v>7530.169142857143</v>
      </c>
      <c r="M90" s="81">
        <f t="shared" si="51"/>
        <v>217093.9751020408</v>
      </c>
    </row>
    <row r="91" spans="1:13" ht="20.25" customHeight="1" thickTop="1">
      <c r="A91" s="82" t="s">
        <v>103</v>
      </c>
      <c r="B91" s="82" t="s">
        <v>99</v>
      </c>
      <c r="C91" s="82" t="s">
        <v>102</v>
      </c>
      <c r="D91" s="10">
        <v>309</v>
      </c>
      <c r="E91" s="10">
        <v>257.97</v>
      </c>
      <c r="F91" s="62">
        <f aca="true" t="shared" si="55" ref="F91:F103">109291780.68*E91/2479.55</f>
        <v>11370611.869903652</v>
      </c>
      <c r="G91" s="62">
        <f aca="true" t="shared" si="56" ref="G91:G103">82610584.85*E91/2479.55</f>
        <v>8594725.887259584</v>
      </c>
      <c r="H91" s="62">
        <f aca="true" t="shared" si="57" ref="H91:H103">17917269.33*E91/2479.55</f>
        <v>1864095.488721784</v>
      </c>
      <c r="I91" s="10">
        <f>+F91+G91+H91</f>
        <v>21829433.24588502</v>
      </c>
      <c r="J91" s="10">
        <f t="shared" si="48"/>
        <v>36798.09666635486</v>
      </c>
      <c r="K91" s="10">
        <f t="shared" si="49"/>
        <v>27814.646884335223</v>
      </c>
      <c r="L91" s="10">
        <f t="shared" si="50"/>
        <v>6032.671484536518</v>
      </c>
      <c r="M91" s="10">
        <f t="shared" si="51"/>
        <v>70645.4150352266</v>
      </c>
    </row>
    <row r="92" spans="1:13" ht="20.25" customHeight="1">
      <c r="A92" s="44" t="s">
        <v>103</v>
      </c>
      <c r="B92" s="44" t="s">
        <v>99</v>
      </c>
      <c r="C92" s="44" t="s">
        <v>104</v>
      </c>
      <c r="D92" s="1">
        <v>192</v>
      </c>
      <c r="E92" s="1">
        <v>135.92</v>
      </c>
      <c r="F92" s="62">
        <f t="shared" si="55"/>
        <v>5990981.76283019</v>
      </c>
      <c r="G92" s="62">
        <f t="shared" si="56"/>
        <v>4528414.709448084</v>
      </c>
      <c r="H92" s="62">
        <f t="shared" si="57"/>
        <v>982160.1691168153</v>
      </c>
      <c r="I92" s="10">
        <f aca="true" t="shared" si="58" ref="I92:I103">+F92+G92+H92</f>
        <v>11501556.64139509</v>
      </c>
      <c r="J92" s="1">
        <f t="shared" si="48"/>
        <v>31203.030014740576</v>
      </c>
      <c r="K92" s="1">
        <f t="shared" si="49"/>
        <v>23585.493278375438</v>
      </c>
      <c r="L92" s="1">
        <f t="shared" si="50"/>
        <v>5115.417547483413</v>
      </c>
      <c r="M92" s="1">
        <f t="shared" si="51"/>
        <v>59903.940840599425</v>
      </c>
    </row>
    <row r="93" spans="1:13" ht="20.25" customHeight="1">
      <c r="A93" s="44" t="s">
        <v>103</v>
      </c>
      <c r="B93" s="44" t="s">
        <v>99</v>
      </c>
      <c r="C93" s="44" t="s">
        <v>105</v>
      </c>
      <c r="D93" s="1">
        <v>179</v>
      </c>
      <c r="E93" s="1">
        <v>142.34</v>
      </c>
      <c r="F93" s="62">
        <f t="shared" si="55"/>
        <v>6273957.799597185</v>
      </c>
      <c r="G93" s="62">
        <f t="shared" si="56"/>
        <v>4742308.341251033</v>
      </c>
      <c r="H93" s="62">
        <f t="shared" si="57"/>
        <v>1028551.1953508499</v>
      </c>
      <c r="I93" s="10">
        <f t="shared" si="58"/>
        <v>12044817.33619907</v>
      </c>
      <c r="J93" s="1">
        <f t="shared" si="48"/>
        <v>35050.04357316863</v>
      </c>
      <c r="K93" s="1">
        <f t="shared" si="49"/>
        <v>26493.342688553257</v>
      </c>
      <c r="L93" s="1">
        <f t="shared" si="50"/>
        <v>5746.0960634125695</v>
      </c>
      <c r="M93" s="1">
        <f t="shared" si="51"/>
        <v>67289.48232513445</v>
      </c>
    </row>
    <row r="94" spans="1:13" ht="20.25" customHeight="1">
      <c r="A94" s="44" t="s">
        <v>103</v>
      </c>
      <c r="B94" s="44" t="s">
        <v>99</v>
      </c>
      <c r="C94" s="44" t="s">
        <v>106</v>
      </c>
      <c r="D94" s="1">
        <v>270</v>
      </c>
      <c r="E94" s="1">
        <v>243.64</v>
      </c>
      <c r="F94" s="62">
        <f t="shared" si="55"/>
        <v>10738984.672571715</v>
      </c>
      <c r="G94" s="62">
        <f t="shared" si="56"/>
        <v>8117296.643686958</v>
      </c>
      <c r="H94" s="62">
        <f t="shared" si="57"/>
        <v>1760546.6715981525</v>
      </c>
      <c r="I94" s="10">
        <f t="shared" si="58"/>
        <v>20616827.987856824</v>
      </c>
      <c r="J94" s="1">
        <f t="shared" si="48"/>
        <v>39774.017305821166</v>
      </c>
      <c r="K94" s="1">
        <f t="shared" si="49"/>
        <v>30064.06164328503</v>
      </c>
      <c r="L94" s="1">
        <f t="shared" si="50"/>
        <v>6520.543228141306</v>
      </c>
      <c r="M94" s="1">
        <f t="shared" si="51"/>
        <v>76358.6221772475</v>
      </c>
    </row>
    <row r="95" spans="1:13" ht="20.25" customHeight="1">
      <c r="A95" s="44" t="s">
        <v>103</v>
      </c>
      <c r="B95" s="44" t="s">
        <v>99</v>
      </c>
      <c r="C95" s="44" t="s">
        <v>230</v>
      </c>
      <c r="D95" s="1">
        <v>81</v>
      </c>
      <c r="E95" s="1">
        <v>74.83</v>
      </c>
      <c r="F95" s="62">
        <f t="shared" si="55"/>
        <v>3298301.687114355</v>
      </c>
      <c r="G95" s="62">
        <f t="shared" si="56"/>
        <v>2493093.530812244</v>
      </c>
      <c r="H95" s="62">
        <f t="shared" si="57"/>
        <v>540722.8182387529</v>
      </c>
      <c r="I95" s="10">
        <f t="shared" si="58"/>
        <v>6332118.036165352</v>
      </c>
      <c r="J95" s="1">
        <f t="shared" si="48"/>
        <v>40719.77391499204</v>
      </c>
      <c r="K95" s="1">
        <f t="shared" si="49"/>
        <v>30778.932479163504</v>
      </c>
      <c r="L95" s="1">
        <f t="shared" si="50"/>
        <v>6675.590348626579</v>
      </c>
      <c r="M95" s="1">
        <f t="shared" si="51"/>
        <v>78174.29674278211</v>
      </c>
    </row>
    <row r="96" spans="1:13" ht="20.25" customHeight="1">
      <c r="A96" s="44" t="s">
        <v>103</v>
      </c>
      <c r="B96" s="44" t="s">
        <v>99</v>
      </c>
      <c r="C96" s="44" t="s">
        <v>107</v>
      </c>
      <c r="D96" s="1">
        <v>404</v>
      </c>
      <c r="E96" s="1">
        <v>321.09</v>
      </c>
      <c r="F96" s="62">
        <f t="shared" si="55"/>
        <v>14152768.792136151</v>
      </c>
      <c r="G96" s="62">
        <f t="shared" si="56"/>
        <v>10697680.099004455</v>
      </c>
      <c r="H96" s="62">
        <f t="shared" si="57"/>
        <v>2320201.6531909816</v>
      </c>
      <c r="I96" s="10">
        <f t="shared" si="58"/>
        <v>27170650.544331588</v>
      </c>
      <c r="J96" s="1">
        <f t="shared" si="48"/>
        <v>35031.605921129085</v>
      </c>
      <c r="K96" s="1">
        <f t="shared" si="49"/>
        <v>26479.406185654592</v>
      </c>
      <c r="L96" s="1">
        <f t="shared" si="50"/>
        <v>5743.073398987578</v>
      </c>
      <c r="M96" s="1">
        <f t="shared" si="51"/>
        <v>67254.08550577125</v>
      </c>
    </row>
    <row r="97" spans="1:15" ht="20.25" customHeight="1">
      <c r="A97" s="44" t="s">
        <v>103</v>
      </c>
      <c r="B97" s="44" t="s">
        <v>99</v>
      </c>
      <c r="C97" s="44" t="s">
        <v>108</v>
      </c>
      <c r="D97" s="1">
        <v>297</v>
      </c>
      <c r="E97" s="1">
        <v>274.72</v>
      </c>
      <c r="F97" s="62">
        <f t="shared" si="55"/>
        <v>12108906.046826884</v>
      </c>
      <c r="G97" s="62">
        <f t="shared" si="56"/>
        <v>9152781.702321792</v>
      </c>
      <c r="H97" s="62">
        <f t="shared" si="57"/>
        <v>1985131.2658900202</v>
      </c>
      <c r="I97" s="10">
        <f t="shared" si="58"/>
        <v>23246819.015038695</v>
      </c>
      <c r="J97" s="1">
        <f t="shared" si="48"/>
        <v>40770.72743039355</v>
      </c>
      <c r="K97" s="1">
        <f t="shared" si="49"/>
        <v>30817.44680916428</v>
      </c>
      <c r="L97" s="1">
        <f t="shared" si="50"/>
        <v>6683.943656195354</v>
      </c>
      <c r="M97" s="1">
        <f t="shared" si="51"/>
        <v>78272.11789575318</v>
      </c>
      <c r="O97" s="47"/>
    </row>
    <row r="98" spans="1:13" ht="20.25" customHeight="1">
      <c r="A98" s="44" t="s">
        <v>103</v>
      </c>
      <c r="B98" s="44" t="s">
        <v>99</v>
      </c>
      <c r="C98" s="44" t="s">
        <v>109</v>
      </c>
      <c r="D98" s="1">
        <v>335</v>
      </c>
      <c r="E98" s="1">
        <v>271.83</v>
      </c>
      <c r="F98" s="62">
        <f t="shared" si="55"/>
        <v>11981522.753017442</v>
      </c>
      <c r="G98" s="62">
        <f t="shared" si="56"/>
        <v>9056496.251245385</v>
      </c>
      <c r="H98" s="62">
        <f t="shared" si="57"/>
        <v>1964248.078068157</v>
      </c>
      <c r="I98" s="10">
        <f t="shared" si="58"/>
        <v>23002267.082330983</v>
      </c>
      <c r="J98" s="1">
        <f t="shared" si="48"/>
        <v>35765.7395612461</v>
      </c>
      <c r="K98" s="1">
        <f t="shared" si="49"/>
        <v>27034.317167896672</v>
      </c>
      <c r="L98" s="1">
        <f t="shared" si="50"/>
        <v>5863.427098710917</v>
      </c>
      <c r="M98" s="1">
        <f t="shared" si="51"/>
        <v>68663.48382785369</v>
      </c>
    </row>
    <row r="99" spans="1:13" ht="20.25" customHeight="1">
      <c r="A99" s="44" t="s">
        <v>103</v>
      </c>
      <c r="B99" s="44" t="s">
        <v>99</v>
      </c>
      <c r="C99" s="44" t="s">
        <v>110</v>
      </c>
      <c r="D99" s="1">
        <v>156</v>
      </c>
      <c r="E99" s="1">
        <v>129.47</v>
      </c>
      <c r="F99" s="62">
        <f t="shared" si="55"/>
        <v>5706683.408134379</v>
      </c>
      <c r="G99" s="62">
        <f t="shared" si="56"/>
        <v>4313521.574692787</v>
      </c>
      <c r="H99" s="62">
        <f t="shared" si="57"/>
        <v>935552.3623863603</v>
      </c>
      <c r="I99" s="10">
        <f t="shared" si="58"/>
        <v>10955757.345213527</v>
      </c>
      <c r="J99" s="1">
        <f t="shared" si="48"/>
        <v>36581.3038982973</v>
      </c>
      <c r="K99" s="1">
        <f t="shared" si="49"/>
        <v>27650.77932495376</v>
      </c>
      <c r="L99" s="1">
        <f t="shared" si="50"/>
        <v>5997.130528117695</v>
      </c>
      <c r="M99" s="1">
        <f t="shared" si="51"/>
        <v>70229.21375136875</v>
      </c>
    </row>
    <row r="100" spans="1:13" ht="20.25" customHeight="1">
      <c r="A100" s="44" t="s">
        <v>103</v>
      </c>
      <c r="B100" s="44" t="s">
        <v>99</v>
      </c>
      <c r="C100" s="44" t="s">
        <v>111</v>
      </c>
      <c r="D100" s="1">
        <v>52</v>
      </c>
      <c r="E100" s="1">
        <v>38</v>
      </c>
      <c r="F100" s="62">
        <f t="shared" si="55"/>
        <v>1674936.0431691234</v>
      </c>
      <c r="G100" s="62">
        <f t="shared" si="56"/>
        <v>1266037.0729769513</v>
      </c>
      <c r="H100" s="62">
        <f t="shared" si="57"/>
        <v>274588.62879958056</v>
      </c>
      <c r="I100" s="10">
        <f t="shared" si="58"/>
        <v>3215561.744945655</v>
      </c>
      <c r="J100" s="1">
        <f t="shared" si="48"/>
        <v>32210.30852248314</v>
      </c>
      <c r="K100" s="1">
        <f t="shared" si="49"/>
        <v>24346.866788018295</v>
      </c>
      <c r="L100" s="1">
        <f t="shared" si="50"/>
        <v>5280.550553838088</v>
      </c>
      <c r="M100" s="1">
        <f t="shared" si="51"/>
        <v>61837.725864339525</v>
      </c>
    </row>
    <row r="101" spans="1:13" ht="20.25" customHeight="1">
      <c r="A101" s="44" t="s">
        <v>103</v>
      </c>
      <c r="B101" s="44" t="s">
        <v>99</v>
      </c>
      <c r="C101" s="44" t="s">
        <v>112</v>
      </c>
      <c r="D101" s="1">
        <v>259</v>
      </c>
      <c r="E101" s="1">
        <v>220.67</v>
      </c>
      <c r="F101" s="62">
        <f t="shared" si="55"/>
        <v>9726529.911740275</v>
      </c>
      <c r="G101" s="62">
        <f t="shared" si="56"/>
        <v>7352010.549837469</v>
      </c>
      <c r="H101" s="62">
        <f t="shared" si="57"/>
        <v>1594565.0715053533</v>
      </c>
      <c r="I101" s="10">
        <f t="shared" si="58"/>
        <v>18673105.533083096</v>
      </c>
      <c r="J101" s="1">
        <f t="shared" si="48"/>
        <v>37554.16954339875</v>
      </c>
      <c r="K101" s="1">
        <f t="shared" si="49"/>
        <v>28386.141119063588</v>
      </c>
      <c r="L101" s="1">
        <f t="shared" si="50"/>
        <v>6156.621897704067</v>
      </c>
      <c r="M101" s="1">
        <f t="shared" si="51"/>
        <v>72096.9325601664</v>
      </c>
    </row>
    <row r="102" spans="1:13" ht="20.25" customHeight="1">
      <c r="A102" s="44" t="s">
        <v>103</v>
      </c>
      <c r="B102" s="44" t="s">
        <v>93</v>
      </c>
      <c r="C102" s="44" t="s">
        <v>94</v>
      </c>
      <c r="D102" s="1">
        <v>283</v>
      </c>
      <c r="E102" s="1">
        <v>195.33</v>
      </c>
      <c r="F102" s="62">
        <f t="shared" si="55"/>
        <v>8609612.034532234</v>
      </c>
      <c r="G102" s="62">
        <f t="shared" si="56"/>
        <v>6507763.722752313</v>
      </c>
      <c r="H102" s="62">
        <f t="shared" si="57"/>
        <v>1411457.8121953176</v>
      </c>
      <c r="I102" s="10">
        <f t="shared" si="58"/>
        <v>16528833.569479866</v>
      </c>
      <c r="J102" s="1">
        <f t="shared" si="48"/>
        <v>30422.657365838284</v>
      </c>
      <c r="K102" s="1">
        <f t="shared" si="49"/>
        <v>22995.631529160117</v>
      </c>
      <c r="L102" s="1">
        <f t="shared" si="50"/>
        <v>4987.483435319144</v>
      </c>
      <c r="M102" s="1">
        <f t="shared" si="51"/>
        <v>58405.772330317544</v>
      </c>
    </row>
    <row r="103" spans="1:13" ht="20.25" customHeight="1" thickBot="1">
      <c r="A103" s="78" t="s">
        <v>103</v>
      </c>
      <c r="B103" s="78" t="s">
        <v>93</v>
      </c>
      <c r="C103" s="78" t="s">
        <v>113</v>
      </c>
      <c r="D103" s="8">
        <v>233</v>
      </c>
      <c r="E103" s="8">
        <v>153.97</v>
      </c>
      <c r="F103" s="62">
        <f t="shared" si="55"/>
        <v>6786576.383335524</v>
      </c>
      <c r="G103" s="62">
        <f t="shared" si="56"/>
        <v>5129782.319112137</v>
      </c>
      <c r="H103" s="62">
        <f t="shared" si="57"/>
        <v>1112589.7677966163</v>
      </c>
      <c r="I103" s="10">
        <f t="shared" si="58"/>
        <v>13028948.470244277</v>
      </c>
      <c r="J103" s="8">
        <f t="shared" si="48"/>
        <v>29126.93726753444</v>
      </c>
      <c r="K103" s="8">
        <f t="shared" si="49"/>
        <v>22016.23312923664</v>
      </c>
      <c r="L103" s="8">
        <f t="shared" si="50"/>
        <v>4775.063381101358</v>
      </c>
      <c r="M103" s="8">
        <f t="shared" si="51"/>
        <v>55918.23377787243</v>
      </c>
    </row>
    <row r="104" spans="1:13" s="47" customFormat="1" ht="20.25" customHeight="1" thickBot="1" thickTop="1">
      <c r="A104" s="79"/>
      <c r="B104" s="79"/>
      <c r="C104" s="80" t="s">
        <v>165</v>
      </c>
      <c r="D104" s="81">
        <f>SUM(D91:D103)</f>
        <v>3050</v>
      </c>
      <c r="E104" s="81">
        <f>SUM(E91:E103)</f>
        <v>2459.7799999999997</v>
      </c>
      <c r="F104" s="81">
        <f>SUM(F91:F103)</f>
        <v>108420373.16490912</v>
      </c>
      <c r="G104" s="81">
        <f>SUM(G91:G103)</f>
        <v>81951912.4044012</v>
      </c>
      <c r="H104" s="81">
        <f>SUM(H91:H103)</f>
        <v>17774410.982858744</v>
      </c>
      <c r="I104" s="81">
        <f t="shared" si="47"/>
        <v>208146696.55216905</v>
      </c>
      <c r="J104" s="81">
        <f t="shared" si="48"/>
        <v>35547.66333275709</v>
      </c>
      <c r="K104" s="81">
        <f t="shared" si="49"/>
        <v>26869.47947685285</v>
      </c>
      <c r="L104" s="81">
        <f t="shared" si="50"/>
        <v>5827.675732084834</v>
      </c>
      <c r="M104" s="81">
        <f t="shared" si="51"/>
        <v>68244.81854169478</v>
      </c>
    </row>
    <row r="105" spans="1:13" ht="20.25" customHeight="1" thickTop="1">
      <c r="A105" s="82" t="s">
        <v>114</v>
      </c>
      <c r="B105" s="82" t="s">
        <v>62</v>
      </c>
      <c r="C105" s="82" t="s">
        <v>169</v>
      </c>
      <c r="D105" s="10">
        <v>118</v>
      </c>
      <c r="E105" s="10">
        <v>81.11</v>
      </c>
      <c r="F105" s="62">
        <f aca="true" t="shared" si="59" ref="F105:F110">40508207.06*E105/390.85</f>
        <v>8406346.871271843</v>
      </c>
      <c r="G105" s="62">
        <f aca="true" t="shared" si="60" ref="G105:G110">28407984.1*E105/390.85</f>
        <v>5895283.5879519</v>
      </c>
      <c r="H105" s="62">
        <f aca="true" t="shared" si="61" ref="H105:H110">1647519.48*E105/390.85</f>
        <v>341896.64838889596</v>
      </c>
      <c r="I105" s="10">
        <f t="shared" si="47"/>
        <v>14643527.10761264</v>
      </c>
      <c r="J105" s="10">
        <f t="shared" si="48"/>
        <v>71240.22772264274</v>
      </c>
      <c r="K105" s="10">
        <f t="shared" si="49"/>
        <v>49960.03040637204</v>
      </c>
      <c r="L105" s="10">
        <f t="shared" si="50"/>
        <v>2897.4292236347114</v>
      </c>
      <c r="M105" s="10">
        <f t="shared" si="51"/>
        <v>124097.68735264949</v>
      </c>
    </row>
    <row r="106" spans="1:13" ht="20.25" customHeight="1">
      <c r="A106" s="44" t="s">
        <v>114</v>
      </c>
      <c r="B106" s="44" t="s">
        <v>57</v>
      </c>
      <c r="C106" s="44" t="s">
        <v>231</v>
      </c>
      <c r="D106" s="1">
        <v>109</v>
      </c>
      <c r="E106" s="1">
        <v>80.25</v>
      </c>
      <c r="F106" s="62">
        <f t="shared" si="59"/>
        <v>8317215.342369195</v>
      </c>
      <c r="G106" s="62">
        <f t="shared" si="60"/>
        <v>5832776.5741972625</v>
      </c>
      <c r="H106" s="62">
        <f t="shared" si="61"/>
        <v>338271.55755404884</v>
      </c>
      <c r="I106" s="1">
        <f t="shared" si="47"/>
        <v>14488263.474120507</v>
      </c>
      <c r="J106" s="1">
        <f t="shared" si="48"/>
        <v>76304.72791164399</v>
      </c>
      <c r="K106" s="1">
        <f t="shared" si="49"/>
        <v>53511.711689883145</v>
      </c>
      <c r="L106" s="1">
        <f t="shared" si="50"/>
        <v>3103.4087848995305</v>
      </c>
      <c r="M106" s="1">
        <f t="shared" si="51"/>
        <v>132919.84838642666</v>
      </c>
    </row>
    <row r="107" spans="1:13" ht="20.25" customHeight="1">
      <c r="A107" s="44" t="s">
        <v>114</v>
      </c>
      <c r="B107" s="44" t="s">
        <v>57</v>
      </c>
      <c r="C107" s="44" t="s">
        <v>242</v>
      </c>
      <c r="D107" s="1">
        <v>27</v>
      </c>
      <c r="E107" s="1">
        <v>16.08</v>
      </c>
      <c r="F107" s="62">
        <f t="shared" si="59"/>
        <v>1666552.3078541637</v>
      </c>
      <c r="G107" s="62">
        <f t="shared" si="60"/>
        <v>1168735.7920634511</v>
      </c>
      <c r="H107" s="62">
        <f t="shared" si="61"/>
        <v>67780.76816783931</v>
      </c>
      <c r="I107" s="1">
        <f t="shared" si="47"/>
        <v>2903068.868085454</v>
      </c>
      <c r="J107" s="1">
        <f t="shared" si="48"/>
        <v>61724.15955015421</v>
      </c>
      <c r="K107" s="1">
        <f t="shared" si="49"/>
        <v>43286.51081716485</v>
      </c>
      <c r="L107" s="1">
        <f t="shared" si="50"/>
        <v>2510.398821031086</v>
      </c>
      <c r="M107" s="1">
        <f t="shared" si="51"/>
        <v>107521.06918835016</v>
      </c>
    </row>
    <row r="108" spans="1:13" ht="20.25" customHeight="1">
      <c r="A108" s="44" t="s">
        <v>114</v>
      </c>
      <c r="B108" s="44" t="s">
        <v>70</v>
      </c>
      <c r="C108" s="44" t="s">
        <v>212</v>
      </c>
      <c r="D108" s="1">
        <v>79</v>
      </c>
      <c r="E108" s="1">
        <v>59.33</v>
      </c>
      <c r="F108" s="62">
        <f t="shared" si="59"/>
        <v>6149039.081155942</v>
      </c>
      <c r="G108" s="62">
        <f t="shared" si="60"/>
        <v>4312257.123328643</v>
      </c>
      <c r="H108" s="62">
        <f t="shared" si="61"/>
        <v>250089.11538544198</v>
      </c>
      <c r="I108" s="1">
        <f t="shared" si="47"/>
        <v>10711385.319870027</v>
      </c>
      <c r="J108" s="1">
        <f t="shared" si="48"/>
        <v>77835.93773615116</v>
      </c>
      <c r="K108" s="1">
        <f t="shared" si="49"/>
        <v>54585.53320669168</v>
      </c>
      <c r="L108" s="1">
        <f t="shared" si="50"/>
        <v>3165.6850048790125</v>
      </c>
      <c r="M108" s="1">
        <f t="shared" si="51"/>
        <v>135587.15594772185</v>
      </c>
    </row>
    <row r="109" spans="1:13" ht="20.25" customHeight="1">
      <c r="A109" s="44" t="s">
        <v>114</v>
      </c>
      <c r="B109" s="44" t="s">
        <v>115</v>
      </c>
      <c r="C109" s="44" t="s">
        <v>229</v>
      </c>
      <c r="D109" s="1">
        <v>83</v>
      </c>
      <c r="E109" s="1">
        <v>62.97</v>
      </c>
      <c r="F109" s="62">
        <f t="shared" si="59"/>
        <v>6526293.459302034</v>
      </c>
      <c r="G109" s="62">
        <f t="shared" si="60"/>
        <v>4576821.693173852</v>
      </c>
      <c r="H109" s="62">
        <f t="shared" si="61"/>
        <v>265432.5231050275</v>
      </c>
      <c r="I109" s="1">
        <f t="shared" si="47"/>
        <v>11368547.675580913</v>
      </c>
      <c r="J109" s="1">
        <f t="shared" si="48"/>
        <v>78630.04167833776</v>
      </c>
      <c r="K109" s="1">
        <f t="shared" si="49"/>
        <v>55142.43003823918</v>
      </c>
      <c r="L109" s="1">
        <f t="shared" si="50"/>
        <v>3197.9822060846686</v>
      </c>
      <c r="M109" s="1">
        <f t="shared" si="51"/>
        <v>136970.45392266163</v>
      </c>
    </row>
    <row r="110" spans="1:13" ht="20.25" customHeight="1" thickBot="1">
      <c r="A110" s="78" t="s">
        <v>114</v>
      </c>
      <c r="B110" s="78" t="s">
        <v>115</v>
      </c>
      <c r="C110" s="78" t="s">
        <v>243</v>
      </c>
      <c r="D110" s="8">
        <v>135</v>
      </c>
      <c r="E110" s="8">
        <v>91.11</v>
      </c>
      <c r="F110" s="62">
        <f t="shared" si="59"/>
        <v>9442759.998046821</v>
      </c>
      <c r="G110" s="62">
        <f t="shared" si="60"/>
        <v>6622109.329284892</v>
      </c>
      <c r="H110" s="62">
        <f t="shared" si="61"/>
        <v>384048.8673987463</v>
      </c>
      <c r="I110" s="8">
        <f t="shared" si="47"/>
        <v>16448918.19473046</v>
      </c>
      <c r="J110" s="8">
        <f t="shared" si="48"/>
        <v>69946.37035590237</v>
      </c>
      <c r="K110" s="8">
        <f t="shared" si="49"/>
        <v>49052.66169840661</v>
      </c>
      <c r="L110" s="8">
        <f t="shared" si="50"/>
        <v>2844.8064251758988</v>
      </c>
      <c r="M110" s="8">
        <f t="shared" si="51"/>
        <v>121843.83847948487</v>
      </c>
    </row>
    <row r="111" spans="1:13" s="47" customFormat="1" ht="20.25" customHeight="1" thickBot="1" thickTop="1">
      <c r="A111" s="79"/>
      <c r="B111" s="79"/>
      <c r="C111" s="80" t="s">
        <v>166</v>
      </c>
      <c r="D111" s="81">
        <f>SUM(D105:D110)</f>
        <v>551</v>
      </c>
      <c r="E111" s="81">
        <f>SUM(E105:E110)</f>
        <v>390.85</v>
      </c>
      <c r="F111" s="81">
        <f>SUM(F105:F110)</f>
        <v>40508207.059999995</v>
      </c>
      <c r="G111" s="81">
        <f>SUM(G105:G110)</f>
        <v>28407984.099999998</v>
      </c>
      <c r="H111" s="81">
        <f>SUM(H105:H110)</f>
        <v>1647519.48</v>
      </c>
      <c r="I111" s="81">
        <f t="shared" si="47"/>
        <v>70563710.64</v>
      </c>
      <c r="J111" s="81">
        <f t="shared" si="48"/>
        <v>73517.61716878403</v>
      </c>
      <c r="K111" s="81">
        <f t="shared" si="49"/>
        <v>51557.139927404714</v>
      </c>
      <c r="L111" s="81">
        <f t="shared" si="50"/>
        <v>2990.053502722323</v>
      </c>
      <c r="M111" s="81">
        <f t="shared" si="51"/>
        <v>128064.81059891106</v>
      </c>
    </row>
    <row r="112" spans="1:13" s="47" customFormat="1" ht="20.25" customHeight="1" thickTop="1">
      <c r="A112" s="82" t="s">
        <v>52</v>
      </c>
      <c r="B112" s="82" t="s">
        <v>62</v>
      </c>
      <c r="C112" s="83" t="s">
        <v>319</v>
      </c>
      <c r="D112" s="10">
        <v>36</v>
      </c>
      <c r="E112" s="10">
        <v>21.89</v>
      </c>
      <c r="F112" s="35">
        <f>25851838.2*E112/312.22</f>
        <v>1812493.556460188</v>
      </c>
      <c r="G112" s="35">
        <f>17489647.75*E112/312.22</f>
        <v>1226213.532917494</v>
      </c>
      <c r="H112" s="35">
        <f>1840043.84*E112/312.22</f>
        <v>129006.98115943884</v>
      </c>
      <c r="I112" s="10">
        <f>+F112+G112+H112</f>
        <v>3167714.0705371206</v>
      </c>
      <c r="J112" s="10">
        <f>+F112/D112</f>
        <v>50347.04323500522</v>
      </c>
      <c r="K112" s="10">
        <f>+G112/D112</f>
        <v>34061.48702548594</v>
      </c>
      <c r="L112" s="10">
        <f>+H112/D112</f>
        <v>3583.527254428857</v>
      </c>
      <c r="M112" s="10">
        <f>SUM(J112:L112)</f>
        <v>87992.05751492002</v>
      </c>
    </row>
    <row r="113" spans="1:13" ht="20.25" customHeight="1">
      <c r="A113" s="82" t="s">
        <v>52</v>
      </c>
      <c r="B113" s="82" t="s">
        <v>93</v>
      </c>
      <c r="C113" s="44" t="s">
        <v>247</v>
      </c>
      <c r="D113" s="1">
        <v>11</v>
      </c>
      <c r="E113" s="1">
        <v>2.58</v>
      </c>
      <c r="F113" s="35">
        <f>25851838.2*E113/312.22</f>
        <v>213624.183447569</v>
      </c>
      <c r="G113" s="35">
        <f>17489647.75*E113/312.22</f>
        <v>144524.02535071422</v>
      </c>
      <c r="H113" s="35">
        <f>1840043.84*E113/312.22</f>
        <v>15205.025646018832</v>
      </c>
      <c r="I113" s="10">
        <f>+F113+G113+H113</f>
        <v>373353.2344443021</v>
      </c>
      <c r="J113" s="10">
        <f t="shared" si="48"/>
        <v>19420.380313415364</v>
      </c>
      <c r="K113" s="10">
        <f t="shared" si="49"/>
        <v>13138.547759155837</v>
      </c>
      <c r="L113" s="10">
        <f t="shared" si="50"/>
        <v>1382.2750587289847</v>
      </c>
      <c r="M113" s="10">
        <f t="shared" si="51"/>
        <v>33941.203131300186</v>
      </c>
    </row>
    <row r="114" spans="1:13" ht="20.25" customHeight="1">
      <c r="A114" s="44" t="s">
        <v>52</v>
      </c>
      <c r="B114" s="44" t="s">
        <v>93</v>
      </c>
      <c r="C114" s="44" t="s">
        <v>248</v>
      </c>
      <c r="D114" s="1">
        <v>11</v>
      </c>
      <c r="E114" s="1">
        <v>2.25</v>
      </c>
      <c r="F114" s="35">
        <f>25851838.2*E114/312.22</f>
        <v>186300.15998334505</v>
      </c>
      <c r="G114" s="35">
        <f>17489647.75*E114/312.22</f>
        <v>126038.39420120427</v>
      </c>
      <c r="H114" s="35">
        <f>1840043.84*E114/312.22</f>
        <v>13260.196784318749</v>
      </c>
      <c r="I114" s="10">
        <f t="shared" si="47"/>
        <v>325598.7509688681</v>
      </c>
      <c r="J114" s="1">
        <f t="shared" si="48"/>
        <v>16936.378180304095</v>
      </c>
      <c r="K114" s="1">
        <f t="shared" si="49"/>
        <v>11458.035836473115</v>
      </c>
      <c r="L114" s="1">
        <f t="shared" si="50"/>
        <v>1205.472434938068</v>
      </c>
      <c r="M114" s="1">
        <f t="shared" si="51"/>
        <v>29599.886451715276</v>
      </c>
    </row>
    <row r="115" spans="1:13" ht="20.25" customHeight="1">
      <c r="A115" s="44" t="s">
        <v>52</v>
      </c>
      <c r="B115" s="44" t="s">
        <v>93</v>
      </c>
      <c r="C115" s="44" t="s">
        <v>186</v>
      </c>
      <c r="D115" s="1">
        <v>46</v>
      </c>
      <c r="E115" s="1">
        <v>35.89</v>
      </c>
      <c r="F115" s="35">
        <f>25851838.2*E115/312.22</f>
        <v>2971694.551912113</v>
      </c>
      <c r="G115" s="35">
        <f>17489647.75*E115/312.22</f>
        <v>2010452.4301694317</v>
      </c>
      <c r="H115" s="35">
        <f>1840043.84*E115/312.22</f>
        <v>211514.87226186664</v>
      </c>
      <c r="I115" s="10">
        <f t="shared" si="47"/>
        <v>5193661.8543434115</v>
      </c>
      <c r="J115" s="1">
        <f t="shared" si="48"/>
        <v>64602.05547635029</v>
      </c>
      <c r="K115" s="1">
        <f t="shared" si="49"/>
        <v>43705.48761237895</v>
      </c>
      <c r="L115" s="1">
        <f t="shared" si="50"/>
        <v>4598.149396997101</v>
      </c>
      <c r="M115" s="1">
        <f t="shared" si="51"/>
        <v>112905.69248572634</v>
      </c>
    </row>
    <row r="116" spans="1:13" ht="20.25" customHeight="1" thickBot="1">
      <c r="A116" s="78" t="s">
        <v>52</v>
      </c>
      <c r="B116" s="78" t="s">
        <v>93</v>
      </c>
      <c r="C116" s="78" t="s">
        <v>187</v>
      </c>
      <c r="D116" s="8">
        <v>29</v>
      </c>
      <c r="E116" s="8">
        <v>23.25</v>
      </c>
      <c r="F116" s="35">
        <f>25851838.2*E116/312.22</f>
        <v>1925101.6531612321</v>
      </c>
      <c r="G116" s="35">
        <f>17489647.75*E116/312.22</f>
        <v>1302396.7400791107</v>
      </c>
      <c r="H116" s="35">
        <f>1840043.84*E116/312.22</f>
        <v>137022.0334379604</v>
      </c>
      <c r="I116" s="10">
        <f t="shared" si="47"/>
        <v>3364520.426678303</v>
      </c>
      <c r="J116" s="8">
        <f t="shared" si="48"/>
        <v>66382.81562624939</v>
      </c>
      <c r="K116" s="8">
        <f t="shared" si="49"/>
        <v>44910.23241652106</v>
      </c>
      <c r="L116" s="8">
        <f t="shared" si="50"/>
        <v>4724.897704757255</v>
      </c>
      <c r="M116" s="8">
        <f t="shared" si="51"/>
        <v>116017.9457475277</v>
      </c>
    </row>
    <row r="117" spans="1:14" s="47" customFormat="1" ht="20.25" customHeight="1" thickBot="1" thickTop="1">
      <c r="A117" s="79"/>
      <c r="B117" s="79"/>
      <c r="C117" s="80" t="s">
        <v>156</v>
      </c>
      <c r="D117" s="81">
        <f>SUM(D112:D116)</f>
        <v>133</v>
      </c>
      <c r="E117" s="81">
        <f>SUM(E112:E116)</f>
        <v>85.86</v>
      </c>
      <c r="F117" s="81">
        <f>SUM(F112:F116)</f>
        <v>7109214.104964447</v>
      </c>
      <c r="G117" s="81">
        <f>SUM(G112:G116)</f>
        <v>4809625.122717954</v>
      </c>
      <c r="H117" s="81">
        <f>SUM(H112:H116)</f>
        <v>506009.1092896034</v>
      </c>
      <c r="I117" s="81">
        <f>+F117+G117+H117</f>
        <v>12424848.336972004</v>
      </c>
      <c r="J117" s="81">
        <f>+F117/D117</f>
        <v>53452.73763131163</v>
      </c>
      <c r="K117" s="81">
        <f>+G117/D117</f>
        <v>36162.594907653795</v>
      </c>
      <c r="L117" s="81">
        <f>+H117/D117</f>
        <v>3804.5797690947625</v>
      </c>
      <c r="M117" s="81">
        <f>SUM(J117:L117)</f>
        <v>93419.91230806019</v>
      </c>
      <c r="N117" s="77"/>
    </row>
    <row r="118" spans="1:13" ht="20.25" customHeight="1" thickTop="1">
      <c r="A118" s="82" t="s">
        <v>116</v>
      </c>
      <c r="B118" s="82" t="s">
        <v>206</v>
      </c>
      <c r="C118" s="82" t="s">
        <v>108</v>
      </c>
      <c r="D118" s="10">
        <v>125</v>
      </c>
      <c r="E118" s="10">
        <v>110.94</v>
      </c>
      <c r="F118" s="62">
        <f aca="true" t="shared" si="62" ref="F118:F125">42738817.2*E118/812.33</f>
        <v>5836845.100104637</v>
      </c>
      <c r="G118" s="62">
        <f aca="true" t="shared" si="63" ref="G118:G125">30440904.89*E118/812.33</f>
        <v>4157317.824648357</v>
      </c>
      <c r="H118" s="62">
        <f aca="true" t="shared" si="64" ref="H118:H125">3404497.92*E118/812.33</f>
        <v>464952.66608988954</v>
      </c>
      <c r="I118" s="10">
        <f t="shared" si="47"/>
        <v>10459115.590842884</v>
      </c>
      <c r="J118" s="10">
        <f t="shared" si="48"/>
        <v>46694.7608008371</v>
      </c>
      <c r="K118" s="10">
        <f t="shared" si="49"/>
        <v>33258.54259718685</v>
      </c>
      <c r="L118" s="10">
        <f t="shared" si="50"/>
        <v>3719.6213287191163</v>
      </c>
      <c r="M118" s="10">
        <f t="shared" si="51"/>
        <v>83672.92472674308</v>
      </c>
    </row>
    <row r="119" spans="1:13" ht="20.25" customHeight="1">
      <c r="A119" s="44" t="s">
        <v>116</v>
      </c>
      <c r="B119" s="44" t="s">
        <v>206</v>
      </c>
      <c r="C119" s="44" t="s">
        <v>117</v>
      </c>
      <c r="D119" s="1">
        <v>231</v>
      </c>
      <c r="E119" s="1">
        <v>197.31</v>
      </c>
      <c r="F119" s="62">
        <f t="shared" si="62"/>
        <v>10380997.89707631</v>
      </c>
      <c r="G119" s="62">
        <f t="shared" si="63"/>
        <v>7393910.041295902</v>
      </c>
      <c r="H119" s="62">
        <f t="shared" si="64"/>
        <v>826931.7698413206</v>
      </c>
      <c r="I119" s="1">
        <f t="shared" si="47"/>
        <v>18601839.708213534</v>
      </c>
      <c r="J119" s="1">
        <f t="shared" si="48"/>
        <v>44939.38483582818</v>
      </c>
      <c r="K119" s="1">
        <f t="shared" si="49"/>
        <v>32008.268577038536</v>
      </c>
      <c r="L119" s="1">
        <f t="shared" si="50"/>
        <v>3579.791211434288</v>
      </c>
      <c r="M119" s="1">
        <f t="shared" si="51"/>
        <v>80527.44462430102</v>
      </c>
    </row>
    <row r="120" spans="1:13" ht="20.25" customHeight="1">
      <c r="A120" s="44" t="s">
        <v>116</v>
      </c>
      <c r="B120" s="44" t="s">
        <v>206</v>
      </c>
      <c r="C120" s="44" t="s">
        <v>118</v>
      </c>
      <c r="D120" s="1">
        <v>159</v>
      </c>
      <c r="E120" s="1">
        <v>123.97</v>
      </c>
      <c r="F120" s="62">
        <f t="shared" si="62"/>
        <v>6522387.660536974</v>
      </c>
      <c r="G120" s="62">
        <f t="shared" si="63"/>
        <v>4645598.438089569</v>
      </c>
      <c r="H120" s="62">
        <f t="shared" si="64"/>
        <v>519561.7632518803</v>
      </c>
      <c r="I120" s="1">
        <f t="shared" si="47"/>
        <v>11687547.861878423</v>
      </c>
      <c r="J120" s="1">
        <f t="shared" si="48"/>
        <v>41021.30604111304</v>
      </c>
      <c r="K120" s="1">
        <f t="shared" si="49"/>
        <v>29217.60023955704</v>
      </c>
      <c r="L120" s="1">
        <f t="shared" si="50"/>
        <v>3267.68404560931</v>
      </c>
      <c r="M120" s="1">
        <f t="shared" si="51"/>
        <v>73506.59032627939</v>
      </c>
    </row>
    <row r="121" spans="1:13" ht="20.25" customHeight="1">
      <c r="A121" s="44" t="s">
        <v>116</v>
      </c>
      <c r="B121" s="44" t="s">
        <v>98</v>
      </c>
      <c r="C121" s="44" t="s">
        <v>119</v>
      </c>
      <c r="D121" s="1">
        <v>373</v>
      </c>
      <c r="E121" s="1">
        <v>250.73</v>
      </c>
      <c r="F121" s="62">
        <f t="shared" si="62"/>
        <v>13191564.55696084</v>
      </c>
      <c r="G121" s="62">
        <f t="shared" si="63"/>
        <v>9395748.135695715</v>
      </c>
      <c r="H121" s="62">
        <f t="shared" si="64"/>
        <v>1050816.4951209482</v>
      </c>
      <c r="I121" s="1">
        <f t="shared" si="47"/>
        <v>23638129.187777504</v>
      </c>
      <c r="J121" s="1">
        <f t="shared" si="48"/>
        <v>35366.124817589385</v>
      </c>
      <c r="K121" s="1">
        <f t="shared" si="49"/>
        <v>25189.67328604749</v>
      </c>
      <c r="L121" s="1">
        <f t="shared" si="50"/>
        <v>2817.2023997880647</v>
      </c>
      <c r="M121" s="1">
        <f t="shared" si="51"/>
        <v>63373.00050342494</v>
      </c>
    </row>
    <row r="122" spans="1:13" ht="20.25" customHeight="1">
      <c r="A122" s="44" t="s">
        <v>116</v>
      </c>
      <c r="B122" s="44" t="s">
        <v>98</v>
      </c>
      <c r="C122" s="44" t="s">
        <v>136</v>
      </c>
      <c r="D122" s="8">
        <v>83</v>
      </c>
      <c r="E122" s="8">
        <v>78.19</v>
      </c>
      <c r="F122" s="62">
        <f t="shared" si="62"/>
        <v>4113781.488887521</v>
      </c>
      <c r="G122" s="62">
        <f t="shared" si="63"/>
        <v>2930058.4163444657</v>
      </c>
      <c r="H122" s="62">
        <f t="shared" si="64"/>
        <v>327696.49325372686</v>
      </c>
      <c r="I122" s="8">
        <f t="shared" si="47"/>
        <v>7371536.398485713</v>
      </c>
      <c r="J122" s="1">
        <f>+F122/D122</f>
        <v>49563.63239623519</v>
      </c>
      <c r="K122" s="1">
        <f>+G122/D122</f>
        <v>35301.90863065622</v>
      </c>
      <c r="L122" s="1">
        <f>+H122/D122</f>
        <v>3948.150521129239</v>
      </c>
      <c r="M122" s="1">
        <f>SUM(J122:L122)</f>
        <v>88813.69154802065</v>
      </c>
    </row>
    <row r="123" spans="1:13" ht="20.25" customHeight="1">
      <c r="A123" s="44" t="s">
        <v>116</v>
      </c>
      <c r="B123" s="173" t="s">
        <v>317</v>
      </c>
      <c r="C123" s="44" t="s">
        <v>314</v>
      </c>
      <c r="D123" s="1">
        <v>34</v>
      </c>
      <c r="E123" s="1">
        <v>17.86</v>
      </c>
      <c r="F123" s="62">
        <f t="shared" si="62"/>
        <v>939661.5601935174</v>
      </c>
      <c r="G123" s="62">
        <f t="shared" si="63"/>
        <v>669277.9551849617</v>
      </c>
      <c r="H123" s="62">
        <f t="shared" si="64"/>
        <v>74851.76326271343</v>
      </c>
      <c r="I123" s="8">
        <f t="shared" si="47"/>
        <v>1683791.2786411922</v>
      </c>
      <c r="J123" s="1">
        <f>+F123/D123</f>
        <v>27637.10471157404</v>
      </c>
      <c r="K123" s="1">
        <f>+G123/D123</f>
        <v>19684.645740734166</v>
      </c>
      <c r="L123" s="1">
        <f>+H123/D123</f>
        <v>2201.522448903336</v>
      </c>
      <c r="M123" s="1">
        <f>SUM(J123:L123)</f>
        <v>49523.27290121154</v>
      </c>
    </row>
    <row r="124" spans="1:13" ht="20.25" customHeight="1">
      <c r="A124" s="44" t="s">
        <v>116</v>
      </c>
      <c r="B124" s="173" t="s">
        <v>317</v>
      </c>
      <c r="C124" s="44" t="s">
        <v>315</v>
      </c>
      <c r="D124" s="1">
        <v>31</v>
      </c>
      <c r="E124" s="1">
        <v>17.22</v>
      </c>
      <c r="F124" s="62">
        <f t="shared" si="62"/>
        <v>905989.4774094272</v>
      </c>
      <c r="G124" s="62">
        <f t="shared" si="63"/>
        <v>645294.8705646719</v>
      </c>
      <c r="H124" s="62">
        <f t="shared" si="64"/>
        <v>72169.50522866321</v>
      </c>
      <c r="I124" s="8">
        <f t="shared" si="47"/>
        <v>1623453.8532027625</v>
      </c>
      <c r="J124" s="1">
        <f>+F124/D124</f>
        <v>29225.46701320733</v>
      </c>
      <c r="K124" s="1">
        <f>+G124/D124</f>
        <v>20815.96356660232</v>
      </c>
      <c r="L124" s="1">
        <f>+H124/D124</f>
        <v>2328.0485557633297</v>
      </c>
      <c r="M124" s="1">
        <f>SUM(J124:L124)</f>
        <v>52369.479135572976</v>
      </c>
    </row>
    <row r="125" spans="1:13" ht="20.25" customHeight="1" thickBot="1">
      <c r="A125" s="44" t="s">
        <v>116</v>
      </c>
      <c r="B125" s="173" t="s">
        <v>317</v>
      </c>
      <c r="C125" s="44" t="s">
        <v>316</v>
      </c>
      <c r="D125" s="1">
        <v>29</v>
      </c>
      <c r="E125" s="1">
        <v>16.11</v>
      </c>
      <c r="F125" s="62">
        <f t="shared" si="62"/>
        <v>847589.4588307707</v>
      </c>
      <c r="G125" s="62">
        <f t="shared" si="63"/>
        <v>603699.2081763569</v>
      </c>
      <c r="H125" s="62">
        <f t="shared" si="64"/>
        <v>67517.4639508574</v>
      </c>
      <c r="I125" s="8">
        <f t="shared" si="47"/>
        <v>1518806.1309579848</v>
      </c>
      <c r="J125" s="1">
        <f>+F125/D125</f>
        <v>29227.222718302437</v>
      </c>
      <c r="K125" s="1">
        <f>+G125/D125</f>
        <v>20817.214075046788</v>
      </c>
      <c r="L125" s="1">
        <f>+H125/D125</f>
        <v>2328.188412098531</v>
      </c>
      <c r="M125" s="1">
        <f>SUM(J125:L125)</f>
        <v>52372.62520544776</v>
      </c>
    </row>
    <row r="126" spans="1:13" s="47" customFormat="1" ht="20.25" customHeight="1" thickBot="1" thickTop="1">
      <c r="A126" s="150"/>
      <c r="B126" s="150"/>
      <c r="C126" s="151" t="s">
        <v>167</v>
      </c>
      <c r="D126" s="152">
        <f>SUM(D118:D125)</f>
        <v>1065</v>
      </c>
      <c r="E126" s="152">
        <f>SUM(E118:E125)</f>
        <v>812.3300000000002</v>
      </c>
      <c r="F126" s="152">
        <f>SUM(F118:F125)</f>
        <v>42738817.2</v>
      </c>
      <c r="G126" s="81">
        <f>SUM(G118:G125)</f>
        <v>30440904.889999997</v>
      </c>
      <c r="H126" s="81">
        <f>SUM(H118:H125)</f>
        <v>3404497.92</v>
      </c>
      <c r="I126" s="81">
        <f>+F126+G126+H126</f>
        <v>76584220.01</v>
      </c>
      <c r="J126" s="81">
        <f>+F126/D126</f>
        <v>40130.3447887324</v>
      </c>
      <c r="K126" s="81">
        <f t="shared" si="49"/>
        <v>28583.009286384975</v>
      </c>
      <c r="L126" s="81">
        <f t="shared" si="50"/>
        <v>3196.711661971831</v>
      </c>
      <c r="M126" s="81">
        <f t="shared" si="51"/>
        <v>71910.0657370892</v>
      </c>
    </row>
    <row r="127" spans="1:13" ht="20.25" customHeight="1" thickTop="1">
      <c r="A127" s="82" t="s">
        <v>120</v>
      </c>
      <c r="B127" s="82" t="s">
        <v>98</v>
      </c>
      <c r="C127" s="82" t="s">
        <v>121</v>
      </c>
      <c r="D127" s="10">
        <v>175</v>
      </c>
      <c r="E127" s="10">
        <v>123.66</v>
      </c>
      <c r="F127" s="62">
        <f>32101698.1*E127/556.08</f>
        <v>7138713.8308264995</v>
      </c>
      <c r="G127" s="62">
        <f>15292763.39*E127/556.08</f>
        <v>3400775.2855837285</v>
      </c>
      <c r="H127" s="62">
        <f>2302626.81*E127/556.08</f>
        <v>512053.7176747949</v>
      </c>
      <c r="I127" s="10">
        <f t="shared" si="47"/>
        <v>11051542.834085023</v>
      </c>
      <c r="J127" s="10">
        <f t="shared" si="48"/>
        <v>40792.65046186571</v>
      </c>
      <c r="K127" s="10">
        <f t="shared" si="49"/>
        <v>19433.00163190702</v>
      </c>
      <c r="L127" s="10">
        <f t="shared" si="50"/>
        <v>2926.0212438559706</v>
      </c>
      <c r="M127" s="10">
        <f t="shared" si="51"/>
        <v>63151.6733376287</v>
      </c>
    </row>
    <row r="128" spans="1:13" ht="20.25" customHeight="1">
      <c r="A128" s="44" t="s">
        <v>120</v>
      </c>
      <c r="B128" s="44" t="s">
        <v>122</v>
      </c>
      <c r="C128" s="44" t="s">
        <v>123</v>
      </c>
      <c r="D128" s="1">
        <v>10</v>
      </c>
      <c r="E128" s="1">
        <v>3.36</v>
      </c>
      <c r="F128" s="62">
        <f>32101698.1*E128/556.08</f>
        <v>193967.96435045314</v>
      </c>
      <c r="G128" s="62">
        <f>15292763.39*E128/556.08</f>
        <v>92403.40416918429</v>
      </c>
      <c r="H128" s="62">
        <f>2302626.81*E128/556.08</f>
        <v>13913.152930513594</v>
      </c>
      <c r="I128" s="1">
        <f t="shared" si="47"/>
        <v>300284.52145015105</v>
      </c>
      <c r="J128" s="1">
        <f t="shared" si="48"/>
        <v>19396.796435045315</v>
      </c>
      <c r="K128" s="1">
        <f t="shared" si="49"/>
        <v>9240.340416918429</v>
      </c>
      <c r="L128" s="1">
        <f t="shared" si="50"/>
        <v>1391.3152930513593</v>
      </c>
      <c r="M128" s="1">
        <f t="shared" si="51"/>
        <v>30028.452145015104</v>
      </c>
    </row>
    <row r="129" spans="1:13" ht="20.25" customHeight="1">
      <c r="A129" s="44" t="s">
        <v>120</v>
      </c>
      <c r="B129" s="44" t="s">
        <v>122</v>
      </c>
      <c r="C129" s="44" t="s">
        <v>124</v>
      </c>
      <c r="D129" s="1">
        <v>118</v>
      </c>
      <c r="E129" s="1">
        <v>80.89</v>
      </c>
      <c r="F129" s="62">
        <f>32101698.1*E129/556.08</f>
        <v>4669663.284615522</v>
      </c>
      <c r="G129" s="62">
        <f>15292763.39*E129/556.08</f>
        <v>2224556.9533468205</v>
      </c>
      <c r="H129" s="62">
        <f>2302626.81*E129/556.08</f>
        <v>334950.8751634657</v>
      </c>
      <c r="I129" s="1">
        <f t="shared" si="47"/>
        <v>7229171.113125809</v>
      </c>
      <c r="J129" s="1">
        <f t="shared" si="48"/>
        <v>39573.41766623324</v>
      </c>
      <c r="K129" s="1">
        <f t="shared" si="49"/>
        <v>18852.177570735766</v>
      </c>
      <c r="L129" s="1">
        <f t="shared" si="50"/>
        <v>2838.566738673438</v>
      </c>
      <c r="M129" s="1">
        <f t="shared" si="51"/>
        <v>61264.16197564244</v>
      </c>
    </row>
    <row r="130" spans="1:13" ht="20.25" customHeight="1">
      <c r="A130" s="44" t="s">
        <v>120</v>
      </c>
      <c r="B130" s="44" t="s">
        <v>122</v>
      </c>
      <c r="C130" s="44" t="s">
        <v>205</v>
      </c>
      <c r="D130" s="1">
        <v>74</v>
      </c>
      <c r="E130" s="1">
        <v>59.72</v>
      </c>
      <c r="F130" s="62">
        <f>32101698.1*E130/556.08</f>
        <v>3447549.6520860307</v>
      </c>
      <c r="G130" s="62">
        <f>15292763.39*E130/556.08</f>
        <v>1642360.5050546683</v>
      </c>
      <c r="H130" s="62">
        <f>2302626.81*E130/556.08</f>
        <v>247289.7300625809</v>
      </c>
      <c r="I130" s="1">
        <f t="shared" si="47"/>
        <v>5337199.88720328</v>
      </c>
      <c r="J130" s="1">
        <f t="shared" si="48"/>
        <v>46588.508811973385</v>
      </c>
      <c r="K130" s="1">
        <f t="shared" si="49"/>
        <v>22194.06087911714</v>
      </c>
      <c r="L130" s="1">
        <f t="shared" si="50"/>
        <v>3341.753108953796</v>
      </c>
      <c r="M130" s="1">
        <f t="shared" si="51"/>
        <v>72124.32280004432</v>
      </c>
    </row>
    <row r="131" spans="1:13" ht="20.25" customHeight="1" thickBot="1">
      <c r="A131" s="78" t="s">
        <v>120</v>
      </c>
      <c r="B131" s="78" t="s">
        <v>171</v>
      </c>
      <c r="C131" s="78" t="s">
        <v>172</v>
      </c>
      <c r="D131" s="8">
        <v>383</v>
      </c>
      <c r="E131" s="8">
        <v>288.45</v>
      </c>
      <c r="F131" s="62">
        <f>32101698.1*E131/556.08</f>
        <v>16651803.368121492</v>
      </c>
      <c r="G131" s="62">
        <f>15292763.39*E131/556.08</f>
        <v>7932667.2418455975</v>
      </c>
      <c r="H131" s="62">
        <f>2302626.81*E131/556.08</f>
        <v>1194419.3341686446</v>
      </c>
      <c r="I131" s="8">
        <f t="shared" si="47"/>
        <v>25778889.944135733</v>
      </c>
      <c r="J131" s="8">
        <f t="shared" si="48"/>
        <v>43477.29338935115</v>
      </c>
      <c r="K131" s="8">
        <f t="shared" si="49"/>
        <v>20711.92491343498</v>
      </c>
      <c r="L131" s="8">
        <f t="shared" si="50"/>
        <v>3118.588339865913</v>
      </c>
      <c r="M131" s="8">
        <f t="shared" si="51"/>
        <v>67307.80664265204</v>
      </c>
    </row>
    <row r="132" spans="1:13" s="47" customFormat="1" ht="20.25" customHeight="1" thickBot="1" thickTop="1">
      <c r="A132" s="79"/>
      <c r="B132" s="79"/>
      <c r="C132" s="80" t="s">
        <v>168</v>
      </c>
      <c r="D132" s="81">
        <f>SUM(D127:D131)</f>
        <v>760</v>
      </c>
      <c r="E132" s="81">
        <f>SUM(E127:E131)</f>
        <v>556.0799999999999</v>
      </c>
      <c r="F132" s="81">
        <f>SUM(F127:F131)</f>
        <v>32101698.099999998</v>
      </c>
      <c r="G132" s="81">
        <f>SUM(G127:G131)</f>
        <v>15292763.389999999</v>
      </c>
      <c r="H132" s="81">
        <f>SUM(H127:H131)</f>
        <v>2302626.8099999996</v>
      </c>
      <c r="I132" s="81">
        <f t="shared" si="47"/>
        <v>49697088.3</v>
      </c>
      <c r="J132" s="81">
        <f t="shared" si="48"/>
        <v>42239.07644736842</v>
      </c>
      <c r="K132" s="81">
        <f t="shared" si="49"/>
        <v>20122.05709210526</v>
      </c>
      <c r="L132" s="81">
        <f>+H132/D132</f>
        <v>3029.7721184210523</v>
      </c>
      <c r="M132" s="81">
        <f t="shared" si="51"/>
        <v>65390.905657894735</v>
      </c>
    </row>
    <row r="133" spans="1:13" ht="20.25" customHeight="1" thickTop="1">
      <c r="A133" s="200" t="s">
        <v>125</v>
      </c>
      <c r="B133" s="201"/>
      <c r="C133" s="202"/>
      <c r="D133" s="10"/>
      <c r="E133" s="10"/>
      <c r="F133" s="62"/>
      <c r="G133" s="62"/>
      <c r="H133" s="62"/>
      <c r="I133" s="10">
        <f t="shared" si="47"/>
        <v>0</v>
      </c>
      <c r="J133" s="10"/>
      <c r="K133" s="10"/>
      <c r="L133" s="10"/>
      <c r="M133" s="10"/>
    </row>
    <row r="134" spans="1:13" ht="20.25" customHeight="1" thickBot="1">
      <c r="A134" s="78" t="s">
        <v>127</v>
      </c>
      <c r="B134" s="78" t="s">
        <v>126</v>
      </c>
      <c r="C134" s="78" t="s">
        <v>249</v>
      </c>
      <c r="D134" s="8">
        <v>18</v>
      </c>
      <c r="E134" s="8">
        <v>11.44</v>
      </c>
      <c r="F134" s="35">
        <f>112092692.94*E134/3275.81</f>
        <v>391457.5043221676</v>
      </c>
      <c r="G134" s="35">
        <f>80806018.05*E134/3275.81</f>
        <v>282196.1122568159</v>
      </c>
      <c r="H134" s="35">
        <f>10951609.8*E134/3275.81</f>
        <v>38245.9349327342</v>
      </c>
      <c r="I134" s="8">
        <f>+F134+G134+H134</f>
        <v>711899.5515117177</v>
      </c>
      <c r="J134" s="8">
        <f t="shared" si="48"/>
        <v>21747.639129009312</v>
      </c>
      <c r="K134" s="8">
        <f t="shared" si="49"/>
        <v>15677.561792045328</v>
      </c>
      <c r="L134" s="8">
        <f t="shared" si="50"/>
        <v>2124.774162929678</v>
      </c>
      <c r="M134" s="8">
        <f t="shared" si="51"/>
        <v>39549.97508398432</v>
      </c>
    </row>
    <row r="135" spans="1:13" s="47" customFormat="1" ht="20.25" customHeight="1" thickBot="1" thickTop="1">
      <c r="A135" s="79"/>
      <c r="B135" s="79"/>
      <c r="C135" s="80" t="s">
        <v>232</v>
      </c>
      <c r="D135" s="81">
        <f>SUM(D134)</f>
        <v>18</v>
      </c>
      <c r="E135" s="81">
        <f>SUM(E134)</f>
        <v>11.44</v>
      </c>
      <c r="F135" s="81">
        <f>SUM(F134)</f>
        <v>391457.5043221676</v>
      </c>
      <c r="G135" s="81">
        <f>SUM(G134)</f>
        <v>282196.1122568159</v>
      </c>
      <c r="H135" s="81">
        <f>SUM(H134)</f>
        <v>38245.9349327342</v>
      </c>
      <c r="I135" s="81">
        <f t="shared" si="47"/>
        <v>711899.5515117177</v>
      </c>
      <c r="J135" s="81">
        <f t="shared" si="48"/>
        <v>21747.639129009312</v>
      </c>
      <c r="K135" s="81">
        <f t="shared" si="49"/>
        <v>15677.561792045328</v>
      </c>
      <c r="L135" s="81">
        <f t="shared" si="50"/>
        <v>2124.774162929678</v>
      </c>
      <c r="M135" s="81">
        <f t="shared" si="51"/>
        <v>39549.97508398432</v>
      </c>
    </row>
    <row r="136" spans="1:13" ht="20.25" customHeight="1" thickTop="1">
      <c r="A136" s="82" t="s">
        <v>129</v>
      </c>
      <c r="B136" s="82" t="s">
        <v>128</v>
      </c>
      <c r="C136" s="82" t="s">
        <v>86</v>
      </c>
      <c r="D136" s="10">
        <v>1</v>
      </c>
      <c r="E136" s="10">
        <v>0.06</v>
      </c>
      <c r="F136" s="62">
        <f>(20730357.51+19219060.23)*E136/(124.78+570.42)</f>
        <v>3447.8784010356735</v>
      </c>
      <c r="G136" s="62">
        <f>(12365841.66+11317976.59)*E136/(124.78+570.42)</f>
        <v>2044.0579617376295</v>
      </c>
      <c r="H136" s="62">
        <f>(572864.36+1360232.84)*E136/(124.78+570.42)</f>
        <v>166.83807825086308</v>
      </c>
      <c r="I136" s="10">
        <f aca="true" t="shared" si="65" ref="I136:I143">+F136+G136+H136</f>
        <v>5658.774441024166</v>
      </c>
      <c r="J136" s="10">
        <f t="shared" si="48"/>
        <v>3447.8784010356735</v>
      </c>
      <c r="K136" s="10">
        <f t="shared" si="49"/>
        <v>2044.0579617376295</v>
      </c>
      <c r="L136" s="10">
        <f t="shared" si="50"/>
        <v>166.83807825086308</v>
      </c>
      <c r="M136" s="10">
        <f t="shared" si="51"/>
        <v>5658.774441024166</v>
      </c>
    </row>
    <row r="137" spans="1:13" ht="20.25" customHeight="1">
      <c r="A137" s="44" t="s">
        <v>129</v>
      </c>
      <c r="B137" s="44" t="s">
        <v>128</v>
      </c>
      <c r="C137" s="44" t="s">
        <v>130</v>
      </c>
      <c r="D137" s="1">
        <f>2+2</f>
        <v>4</v>
      </c>
      <c r="E137" s="1">
        <f>1.06+2.2</f>
        <v>3.2600000000000002</v>
      </c>
      <c r="F137" s="62">
        <f>(20730357.51+19219060.23)*E137/(124.78+570.42)</f>
        <v>187334.7264562716</v>
      </c>
      <c r="G137" s="62">
        <f>(12365841.66+11317976.59)*E137/(124.78+570.42)</f>
        <v>111060.48258774455</v>
      </c>
      <c r="H137" s="62">
        <f>(572864.36+1360232.84)*E137/(124.78+570.42)</f>
        <v>9064.868918296896</v>
      </c>
      <c r="I137" s="1">
        <f t="shared" si="65"/>
        <v>307460.077962313</v>
      </c>
      <c r="J137" s="1">
        <f t="shared" si="48"/>
        <v>46833.6816140679</v>
      </c>
      <c r="K137" s="1">
        <f t="shared" si="49"/>
        <v>27765.12064693614</v>
      </c>
      <c r="L137" s="1">
        <f t="shared" si="50"/>
        <v>2266.217229574224</v>
      </c>
      <c r="M137" s="1">
        <f t="shared" si="51"/>
        <v>76865.01949057826</v>
      </c>
    </row>
    <row r="138" spans="1:13" ht="20.25" customHeight="1" thickBot="1">
      <c r="A138" s="78" t="s">
        <v>129</v>
      </c>
      <c r="B138" s="78" t="s">
        <v>128</v>
      </c>
      <c r="C138" s="78" t="s">
        <v>131</v>
      </c>
      <c r="D138" s="8">
        <v>8</v>
      </c>
      <c r="E138" s="8">
        <v>3.83</v>
      </c>
      <c r="F138" s="62">
        <f>(20730357.51+19219060.23)*E138/(124.78+570.42)</f>
        <v>220089.57126611052</v>
      </c>
      <c r="G138" s="62">
        <f>(12365841.66+11317976.59)*E138/(124.78+570.42)</f>
        <v>130479.03322425204</v>
      </c>
      <c r="H138" s="62">
        <f>(572864.36+1360232.84)*E138/(124.78+570.42)</f>
        <v>10649.830661680095</v>
      </c>
      <c r="I138" s="8">
        <f t="shared" si="65"/>
        <v>361218.43515204266</v>
      </c>
      <c r="J138" s="8">
        <f t="shared" si="48"/>
        <v>27511.196408263815</v>
      </c>
      <c r="K138" s="8">
        <f t="shared" si="49"/>
        <v>16309.879153031505</v>
      </c>
      <c r="L138" s="8">
        <f t="shared" si="50"/>
        <v>1331.2288327100118</v>
      </c>
      <c r="M138" s="8">
        <f t="shared" si="51"/>
        <v>45152.30439400533</v>
      </c>
    </row>
    <row r="139" spans="1:13" s="47" customFormat="1" ht="20.25" customHeight="1" thickBot="1" thickTop="1">
      <c r="A139" s="79"/>
      <c r="B139" s="79"/>
      <c r="C139" s="80" t="s">
        <v>233</v>
      </c>
      <c r="D139" s="81">
        <f>SUM(D136:D138)</f>
        <v>13</v>
      </c>
      <c r="E139" s="81">
        <f>SUM(E136:E138)</f>
        <v>7.15</v>
      </c>
      <c r="F139" s="81">
        <f>SUM(F136:F138)</f>
        <v>410872.1761234178</v>
      </c>
      <c r="G139" s="81">
        <f>SUM(G136:G138)</f>
        <v>243583.5737737342</v>
      </c>
      <c r="H139" s="81">
        <f>SUM(H136:H138)</f>
        <v>19881.537658227855</v>
      </c>
      <c r="I139" s="81">
        <f t="shared" si="65"/>
        <v>674337.2875553798</v>
      </c>
      <c r="J139" s="81">
        <f aca="true" t="shared" si="66" ref="J139:J144">+F139/D139</f>
        <v>31605.552009493676</v>
      </c>
      <c r="K139" s="81">
        <f aca="true" t="shared" si="67" ref="K139:K144">+G139/D139</f>
        <v>18737.19798259494</v>
      </c>
      <c r="L139" s="81">
        <f aca="true" t="shared" si="68" ref="L139:L144">+H139/D139</f>
        <v>1529.349050632912</v>
      </c>
      <c r="M139" s="81">
        <f aca="true" t="shared" si="69" ref="M139:M144">SUM(J139:L139)</f>
        <v>51872.09904272153</v>
      </c>
    </row>
    <row r="140" spans="1:13" ht="20.25" customHeight="1" thickBot="1" thickTop="1">
      <c r="A140" s="78" t="s">
        <v>97</v>
      </c>
      <c r="B140" s="78" t="s">
        <v>128</v>
      </c>
      <c r="C140" s="78" t="s">
        <v>202</v>
      </c>
      <c r="D140" s="8">
        <v>3</v>
      </c>
      <c r="E140" s="8">
        <v>1.06</v>
      </c>
      <c r="F140" s="10">
        <f>35122800.05*E140/342.45</f>
        <v>108717.09170097824</v>
      </c>
      <c r="G140" s="10">
        <f>11836001.52*E140/342.45</f>
        <v>36636.4771826544</v>
      </c>
      <c r="H140" s="10">
        <f>780591.03*E140/342.45</f>
        <v>2416.1965010950507</v>
      </c>
      <c r="I140" s="8">
        <f t="shared" si="65"/>
        <v>147769.7653847277</v>
      </c>
      <c r="J140" s="8">
        <f t="shared" si="66"/>
        <v>36239.03056699275</v>
      </c>
      <c r="K140" s="8">
        <f t="shared" si="67"/>
        <v>12212.1590608848</v>
      </c>
      <c r="L140" s="8">
        <f t="shared" si="68"/>
        <v>805.3988336983502</v>
      </c>
      <c r="M140" s="8">
        <f t="shared" si="69"/>
        <v>49256.5884615759</v>
      </c>
    </row>
    <row r="141" spans="1:13" s="47" customFormat="1" ht="20.25" customHeight="1" thickBot="1" thickTop="1">
      <c r="A141" s="79"/>
      <c r="B141" s="79"/>
      <c r="C141" s="80" t="s">
        <v>234</v>
      </c>
      <c r="D141" s="81">
        <f>SUM(D140:D140)</f>
        <v>3</v>
      </c>
      <c r="E141" s="81">
        <f>SUM(E140:E140)</f>
        <v>1.06</v>
      </c>
      <c r="F141" s="81">
        <f>SUM(F140:F140)</f>
        <v>108717.09170097824</v>
      </c>
      <c r="G141" s="81">
        <f>SUM(G140:G140)</f>
        <v>36636.4771826544</v>
      </c>
      <c r="H141" s="81">
        <f>SUM(H140:H140)</f>
        <v>2416.1965010950507</v>
      </c>
      <c r="I141" s="81">
        <f t="shared" si="65"/>
        <v>147769.7653847277</v>
      </c>
      <c r="J141" s="81">
        <f t="shared" si="66"/>
        <v>36239.03056699275</v>
      </c>
      <c r="K141" s="81">
        <f t="shared" si="67"/>
        <v>12212.1590608848</v>
      </c>
      <c r="L141" s="81">
        <f t="shared" si="68"/>
        <v>805.3988336983502</v>
      </c>
      <c r="M141" s="81">
        <f t="shared" si="69"/>
        <v>49256.5884615759</v>
      </c>
    </row>
    <row r="142" spans="1:13" ht="20.25" customHeight="1" thickBot="1" thickTop="1">
      <c r="A142" s="85" t="s">
        <v>103</v>
      </c>
      <c r="B142" s="85" t="s">
        <v>132</v>
      </c>
      <c r="C142" s="85" t="s">
        <v>250</v>
      </c>
      <c r="D142" s="86">
        <v>25</v>
      </c>
      <c r="E142" s="86">
        <v>19.77</v>
      </c>
      <c r="F142" s="62">
        <f>(109291780.68*E142/2479.55)+0.01</f>
        <v>871407.5250908834</v>
      </c>
      <c r="G142" s="62">
        <f>(82610584.85*E142/2479.55)+0.02</f>
        <v>658672.4655987981</v>
      </c>
      <c r="H142" s="62">
        <f>(17917269.33*E142/2479.55)+0.01</f>
        <v>142858.35714125546</v>
      </c>
      <c r="I142" s="86">
        <f t="shared" si="65"/>
        <v>1672938.3478309368</v>
      </c>
      <c r="J142" s="86">
        <f t="shared" si="66"/>
        <v>34856.30100363534</v>
      </c>
      <c r="K142" s="86">
        <f t="shared" si="67"/>
        <v>26346.898623951925</v>
      </c>
      <c r="L142" s="86">
        <f t="shared" si="68"/>
        <v>5714.334285650219</v>
      </c>
      <c r="M142" s="86">
        <f t="shared" si="69"/>
        <v>66917.53391323748</v>
      </c>
    </row>
    <row r="143" spans="1:13" s="47" customFormat="1" ht="20.25" customHeight="1" thickBot="1" thickTop="1">
      <c r="A143" s="79"/>
      <c r="B143" s="79"/>
      <c r="C143" s="80" t="s">
        <v>235</v>
      </c>
      <c r="D143" s="81">
        <f>SUM(D142)</f>
        <v>25</v>
      </c>
      <c r="E143" s="81">
        <f>SUM(E142)</f>
        <v>19.77</v>
      </c>
      <c r="F143" s="81">
        <f>SUM(F142)</f>
        <v>871407.5250908834</v>
      </c>
      <c r="G143" s="81">
        <f>SUM(G142)</f>
        <v>658672.4655987981</v>
      </c>
      <c r="H143" s="81">
        <f>SUM(H142)</f>
        <v>142858.35714125546</v>
      </c>
      <c r="I143" s="81">
        <f t="shared" si="65"/>
        <v>1672938.3478309368</v>
      </c>
      <c r="J143" s="81">
        <f t="shared" si="66"/>
        <v>34856.30100363534</v>
      </c>
      <c r="K143" s="81">
        <f t="shared" si="67"/>
        <v>26346.898623951925</v>
      </c>
      <c r="L143" s="81">
        <f t="shared" si="68"/>
        <v>5714.334285650219</v>
      </c>
      <c r="M143" s="81">
        <f t="shared" si="69"/>
        <v>66917.53391323748</v>
      </c>
    </row>
    <row r="144" spans="1:13" s="47" customFormat="1" ht="20.25" customHeight="1" thickBot="1" thickTop="1">
      <c r="A144" s="197" t="s">
        <v>4</v>
      </c>
      <c r="B144" s="198"/>
      <c r="C144" s="199"/>
      <c r="D144" s="81">
        <f aca="true" t="shared" si="70" ref="D144:I144">+D11+D21+D33+D40+D48+D52+D59+D69+D80+D88+D90+D104+D111+D117+D126+D132+D135+D139+D141+D143</f>
        <v>17773</v>
      </c>
      <c r="E144" s="81">
        <f t="shared" si="70"/>
        <v>13587.220000000001</v>
      </c>
      <c r="F144" s="81">
        <f t="shared" si="70"/>
        <v>735123766.8100001</v>
      </c>
      <c r="G144" s="81">
        <f t="shared" si="70"/>
        <v>424045200.06</v>
      </c>
      <c r="H144" s="81">
        <f t="shared" si="70"/>
        <v>56245868.180000015</v>
      </c>
      <c r="I144" s="81">
        <f t="shared" si="70"/>
        <v>1215414835.0500002</v>
      </c>
      <c r="J144" s="81">
        <f t="shared" si="66"/>
        <v>41361.82787430372</v>
      </c>
      <c r="K144" s="81">
        <f t="shared" si="67"/>
        <v>23858.954597423057</v>
      </c>
      <c r="L144" s="81">
        <f t="shared" si="68"/>
        <v>3164.680593034379</v>
      </c>
      <c r="M144" s="81">
        <f t="shared" si="69"/>
        <v>68385.46306476116</v>
      </c>
    </row>
    <row r="145" spans="1:9" ht="20.25" customHeight="1" thickTop="1">
      <c r="A145" s="196"/>
      <c r="B145" s="196"/>
      <c r="C145" s="196"/>
      <c r="D145" s="196"/>
      <c r="E145" s="196"/>
      <c r="F145" s="36">
        <v>735123766.81</v>
      </c>
      <c r="G145" s="36">
        <v>424045200.06</v>
      </c>
      <c r="H145" s="36">
        <v>56245868.18</v>
      </c>
      <c r="I145" s="36">
        <f>SUM(F145:H145)</f>
        <v>1215414835.05</v>
      </c>
    </row>
    <row r="146" spans="1:9" ht="20.25" customHeight="1">
      <c r="A146" s="147"/>
      <c r="B146" s="147"/>
      <c r="C146" s="147"/>
      <c r="D146" s="147"/>
      <c r="E146" s="147"/>
      <c r="F146" s="36"/>
      <c r="G146" s="36"/>
      <c r="H146" s="36"/>
      <c r="I146" s="36"/>
    </row>
    <row r="147" spans="1:9" ht="20.25" customHeight="1">
      <c r="A147" s="147"/>
      <c r="B147" s="147"/>
      <c r="C147" s="147"/>
      <c r="D147" s="147"/>
      <c r="E147" s="153"/>
      <c r="F147" s="36"/>
      <c r="G147" s="36"/>
      <c r="H147" s="36"/>
      <c r="I147" s="36"/>
    </row>
    <row r="148" spans="1:9" ht="20.25" customHeight="1">
      <c r="A148" s="147"/>
      <c r="B148" s="147"/>
      <c r="C148" s="147"/>
      <c r="D148" s="147"/>
      <c r="E148" s="147"/>
      <c r="F148" s="36"/>
      <c r="G148" s="36"/>
      <c r="H148" s="36"/>
      <c r="I148" s="36"/>
    </row>
    <row r="149" spans="1:13" s="69" customFormat="1" ht="18.75">
      <c r="A149" s="69" t="s">
        <v>208</v>
      </c>
      <c r="C149" s="70"/>
      <c r="D149" s="70"/>
      <c r="E149" s="70"/>
      <c r="F149" s="36"/>
      <c r="G149" s="36"/>
      <c r="H149" s="36"/>
      <c r="I149" s="36"/>
      <c r="J149" s="28"/>
      <c r="K149" s="28"/>
      <c r="L149" s="28"/>
      <c r="M149" s="28"/>
    </row>
    <row r="150" spans="3:13" s="69" customFormat="1" ht="18.75">
      <c r="C150" s="70"/>
      <c r="D150" s="70"/>
      <c r="E150" s="70"/>
      <c r="F150" s="36"/>
      <c r="G150" s="36"/>
      <c r="H150" s="36"/>
      <c r="I150" s="28"/>
      <c r="J150" s="28"/>
      <c r="K150" s="28"/>
      <c r="L150" s="28"/>
      <c r="M150" s="28"/>
    </row>
    <row r="151" spans="3:13" s="69" customFormat="1" ht="18.75">
      <c r="C151" s="70"/>
      <c r="D151" s="103"/>
      <c r="E151" s="103"/>
      <c r="F151" s="36"/>
      <c r="G151" s="36"/>
      <c r="H151" s="36"/>
      <c r="I151" s="36"/>
      <c r="J151" s="28"/>
      <c r="K151" s="28"/>
      <c r="L151" s="28"/>
      <c r="M151" s="28"/>
    </row>
    <row r="152" spans="3:13" s="69" customFormat="1" ht="18.75">
      <c r="C152" s="70"/>
      <c r="D152" s="70"/>
      <c r="E152" s="70"/>
      <c r="F152" s="36"/>
      <c r="G152" s="36"/>
      <c r="H152" s="36"/>
      <c r="I152" s="28"/>
      <c r="J152" s="28"/>
      <c r="K152" s="28"/>
      <c r="L152" s="28"/>
      <c r="M152" s="28"/>
    </row>
    <row r="153" spans="3:9" ht="20.25" customHeight="1">
      <c r="C153" s="48"/>
      <c r="D153" s="48"/>
      <c r="E153" s="48"/>
      <c r="F153" s="36"/>
      <c r="G153" s="36"/>
      <c r="H153" s="36"/>
      <c r="I153" s="36"/>
    </row>
    <row r="154" spans="4:9" ht="20.25" customHeight="1">
      <c r="D154" s="104"/>
      <c r="E154" s="104"/>
      <c r="F154" s="104"/>
      <c r="G154" s="104"/>
      <c r="H154" s="104"/>
      <c r="I154" s="104"/>
    </row>
    <row r="155" spans="6:9" ht="20.25" customHeight="1">
      <c r="F155" s="63"/>
      <c r="G155" s="63"/>
      <c r="H155" s="63"/>
      <c r="I155" s="36"/>
    </row>
  </sheetData>
  <sheetProtection/>
  <autoFilter ref="A4:M145"/>
  <mergeCells count="7">
    <mergeCell ref="A2:M2"/>
    <mergeCell ref="A1:M1"/>
    <mergeCell ref="A145:E145"/>
    <mergeCell ref="A144:C144"/>
    <mergeCell ref="A133:C133"/>
    <mergeCell ref="A12:C12"/>
    <mergeCell ref="A5:C5"/>
  </mergeCells>
  <printOptions horizontalCentered="1"/>
  <pageMargins left="0.17" right="0.17" top="0.42" bottom="0.35433070866141736" header="0.2755905511811024" footer="0.275590551181102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6"/>
  <sheetViews>
    <sheetView tabSelected="1" zoomScalePageLayoutView="0" workbookViewId="0" topLeftCell="A100">
      <selection activeCell="C111" sqref="C111"/>
    </sheetView>
  </sheetViews>
  <sheetFormatPr defaultColWidth="9.140625" defaultRowHeight="15"/>
  <cols>
    <col min="1" max="1" width="28.140625" style="23" bestFit="1" customWidth="1"/>
    <col min="2" max="2" width="35.00390625" style="23" customWidth="1"/>
    <col min="3" max="3" width="55.57421875" style="23" bestFit="1" customWidth="1"/>
    <col min="4" max="4" width="11.8515625" style="58" bestFit="1" customWidth="1"/>
    <col min="5" max="5" width="9.8515625" style="58" bestFit="1" customWidth="1"/>
    <col min="6" max="6" width="15.421875" style="58" bestFit="1" customWidth="1"/>
    <col min="7" max="7" width="16.00390625" style="58" bestFit="1" customWidth="1"/>
    <col min="8" max="8" width="14.00390625" style="58" bestFit="1" customWidth="1"/>
    <col min="9" max="9" width="15.8515625" style="58" bestFit="1" customWidth="1"/>
    <col min="10" max="10" width="13.7109375" style="58" customWidth="1"/>
    <col min="11" max="11" width="15.140625" style="58" customWidth="1"/>
    <col min="12" max="12" width="13.8515625" style="58" customWidth="1"/>
    <col min="13" max="13" width="17.421875" style="58" customWidth="1"/>
    <col min="14" max="16384" width="9.00390625" style="23" customWidth="1"/>
  </cols>
  <sheetData>
    <row r="1" spans="1:13" s="112" customFormat="1" ht="21">
      <c r="A1" s="174" t="s">
        <v>390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112" customFormat="1" ht="21">
      <c r="A2" s="174" t="s">
        <v>252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4" spans="1:13" s="143" customFormat="1" ht="63">
      <c r="A4" s="148" t="s">
        <v>46</v>
      </c>
      <c r="B4" s="148" t="s">
        <v>48</v>
      </c>
      <c r="C4" s="148" t="s">
        <v>47</v>
      </c>
      <c r="D4" s="64" t="s">
        <v>367</v>
      </c>
      <c r="E4" s="64" t="s">
        <v>309</v>
      </c>
      <c r="F4" s="64" t="s">
        <v>237</v>
      </c>
      <c r="G4" s="64" t="s">
        <v>238</v>
      </c>
      <c r="H4" s="64" t="s">
        <v>239</v>
      </c>
      <c r="I4" s="65" t="s">
        <v>49</v>
      </c>
      <c r="J4" s="64" t="s">
        <v>177</v>
      </c>
      <c r="K4" s="64" t="s">
        <v>178</v>
      </c>
      <c r="L4" s="64" t="s">
        <v>174</v>
      </c>
      <c r="M4" s="64" t="s">
        <v>366</v>
      </c>
    </row>
    <row r="5" spans="1:13" ht="21">
      <c r="A5" s="66" t="s">
        <v>50</v>
      </c>
      <c r="B5" s="66" t="s">
        <v>52</v>
      </c>
      <c r="C5" s="66" t="s">
        <v>51</v>
      </c>
      <c r="D5" s="67">
        <v>32</v>
      </c>
      <c r="E5" s="67">
        <v>22.63</v>
      </c>
      <c r="F5" s="67">
        <v>1873765.6090769325</v>
      </c>
      <c r="G5" s="67">
        <v>1267666.1603436677</v>
      </c>
      <c r="H5" s="67">
        <v>133368.11254628145</v>
      </c>
      <c r="I5" s="67">
        <v>3274799.881966882</v>
      </c>
      <c r="J5" s="67">
        <v>58555.1752836541</v>
      </c>
      <c r="K5" s="67">
        <v>39614.56751073962</v>
      </c>
      <c r="L5" s="67">
        <v>4167.753517071295</v>
      </c>
      <c r="M5" s="67">
        <v>102337.49631146506</v>
      </c>
    </row>
    <row r="6" spans="1:13" ht="21">
      <c r="A6" s="66" t="s">
        <v>50</v>
      </c>
      <c r="B6" s="66" t="s">
        <v>52</v>
      </c>
      <c r="C6" s="66" t="s">
        <v>53</v>
      </c>
      <c r="D6" s="67">
        <v>62</v>
      </c>
      <c r="E6" s="67">
        <v>50.47</v>
      </c>
      <c r="F6" s="67">
        <v>4178919.588604189</v>
      </c>
      <c r="G6" s="67">
        <v>2827181.224593235</v>
      </c>
      <c r="H6" s="67">
        <v>297440.9474242521</v>
      </c>
      <c r="I6" s="67">
        <v>7303541.760621677</v>
      </c>
      <c r="J6" s="67">
        <v>67401.92884845466</v>
      </c>
      <c r="K6" s="67">
        <v>45599.697170858635</v>
      </c>
      <c r="L6" s="67">
        <v>4797.4346358750345</v>
      </c>
      <c r="M6" s="67">
        <v>117799.06065518832</v>
      </c>
    </row>
    <row r="7" spans="1:13" ht="21">
      <c r="A7" s="66" t="s">
        <v>50</v>
      </c>
      <c r="B7" s="66" t="s">
        <v>52</v>
      </c>
      <c r="C7" s="66" t="s">
        <v>54</v>
      </c>
      <c r="D7" s="67">
        <v>56</v>
      </c>
      <c r="E7" s="67">
        <v>47.76</v>
      </c>
      <c r="F7" s="67">
        <v>3954531.3959131376</v>
      </c>
      <c r="G7" s="67">
        <v>2675374.980910896</v>
      </c>
      <c r="H7" s="67">
        <v>281469.7770751393</v>
      </c>
      <c r="I7" s="67">
        <v>6911376.153899172</v>
      </c>
      <c r="J7" s="67">
        <v>70616.63206987745</v>
      </c>
      <c r="K7" s="67">
        <v>47774.55323055171</v>
      </c>
      <c r="L7" s="67">
        <v>5026.246019198916</v>
      </c>
      <c r="M7" s="67">
        <v>123417.43131962809</v>
      </c>
    </row>
    <row r="8" spans="1:13" ht="21">
      <c r="A8" s="66" t="s">
        <v>50</v>
      </c>
      <c r="B8" s="66" t="s">
        <v>52</v>
      </c>
      <c r="C8" s="66" t="s">
        <v>55</v>
      </c>
      <c r="D8" s="67">
        <v>77</v>
      </c>
      <c r="E8" s="67">
        <v>57.42</v>
      </c>
      <c r="F8" s="67">
        <v>4754380.082774966</v>
      </c>
      <c r="G8" s="67">
        <v>3216499.8200147334</v>
      </c>
      <c r="H8" s="67">
        <v>338400.2219358145</v>
      </c>
      <c r="I8" s="67">
        <v>8309280.124725513</v>
      </c>
      <c r="J8" s="67">
        <v>61745.19588019436</v>
      </c>
      <c r="K8" s="67">
        <v>41772.72493525628</v>
      </c>
      <c r="L8" s="67">
        <v>4394.8080770885</v>
      </c>
      <c r="M8" s="67">
        <v>107912.72889253913</v>
      </c>
    </row>
    <row r="9" spans="1:13" ht="21">
      <c r="A9" s="66" t="s">
        <v>50</v>
      </c>
      <c r="B9" s="66" t="s">
        <v>52</v>
      </c>
      <c r="C9" s="66" t="s">
        <v>151</v>
      </c>
      <c r="D9" s="67">
        <v>57</v>
      </c>
      <c r="E9" s="67">
        <v>48.08</v>
      </c>
      <c r="F9" s="67">
        <v>3981027.4186663246</v>
      </c>
      <c r="G9" s="67">
        <v>2693300.4414195116</v>
      </c>
      <c r="H9" s="67">
        <v>283355.6717289091</v>
      </c>
      <c r="I9" s="67">
        <v>6957683.531814745</v>
      </c>
      <c r="J9" s="67">
        <v>69842.5862923917</v>
      </c>
      <c r="K9" s="67">
        <v>47250.88493718441</v>
      </c>
      <c r="L9" s="67">
        <v>4971.152135594896</v>
      </c>
      <c r="M9" s="67">
        <v>122064.62336517096</v>
      </c>
    </row>
    <row r="10" spans="1:13" s="112" customFormat="1" ht="21">
      <c r="A10" s="159"/>
      <c r="B10" s="159"/>
      <c r="C10" s="110" t="s">
        <v>175</v>
      </c>
      <c r="D10" s="87">
        <f aca="true" t="shared" si="0" ref="D10:I10">SUM(D5:D9)</f>
        <v>284</v>
      </c>
      <c r="E10" s="87">
        <f t="shared" si="0"/>
        <v>226.35999999999996</v>
      </c>
      <c r="F10" s="87">
        <f t="shared" si="0"/>
        <v>18742624.09503555</v>
      </c>
      <c r="G10" s="87">
        <f t="shared" si="0"/>
        <v>12680022.627282044</v>
      </c>
      <c r="H10" s="87">
        <f t="shared" si="0"/>
        <v>1334034.7307103963</v>
      </c>
      <c r="I10" s="87">
        <f t="shared" si="0"/>
        <v>32756681.453027993</v>
      </c>
      <c r="J10" s="87">
        <f>+F10/D10</f>
        <v>65995.15526420968</v>
      </c>
      <c r="K10" s="87">
        <f>+G10/D10</f>
        <v>44647.96699747199</v>
      </c>
      <c r="L10" s="87">
        <f>+H10/D10</f>
        <v>4697.305389825339</v>
      </c>
      <c r="M10" s="87">
        <f>SUM(J10:L10)</f>
        <v>115340.42765150701</v>
      </c>
    </row>
    <row r="11" spans="1:13" s="112" customFormat="1" ht="21">
      <c r="A11" s="159"/>
      <c r="B11" s="159"/>
      <c r="C11" s="110" t="s">
        <v>173</v>
      </c>
      <c r="D11" s="87"/>
      <c r="E11" s="87"/>
      <c r="F11" s="87"/>
      <c r="G11" s="87"/>
      <c r="H11" s="87"/>
      <c r="I11" s="87"/>
      <c r="J11" s="87">
        <f>+J10*100/M10</f>
        <v>57.217713344716735</v>
      </c>
      <c r="K11" s="87">
        <f>+K10*100/M10</f>
        <v>38.7097290226569</v>
      </c>
      <c r="L11" s="87">
        <f>+L10*100/M10</f>
        <v>4.072557632626365</v>
      </c>
      <c r="M11" s="87">
        <f>SUM(J11:L11)</f>
        <v>100</v>
      </c>
    </row>
    <row r="12" spans="1:13" ht="21">
      <c r="A12" s="66" t="s">
        <v>95</v>
      </c>
      <c r="B12" s="66" t="s">
        <v>88</v>
      </c>
      <c r="C12" s="109" t="s">
        <v>96</v>
      </c>
      <c r="D12" s="67">
        <v>121</v>
      </c>
      <c r="E12" s="67">
        <v>96.17</v>
      </c>
      <c r="F12" s="67">
        <v>8300096.859768284</v>
      </c>
      <c r="G12" s="67">
        <v>2646985.25497067</v>
      </c>
      <c r="H12" s="67">
        <v>262740.3974336957</v>
      </c>
      <c r="I12" s="67">
        <v>11209822.51217265</v>
      </c>
      <c r="J12" s="67">
        <v>68595.84181626681</v>
      </c>
      <c r="K12" s="67">
        <v>21875.911198104714</v>
      </c>
      <c r="L12" s="67">
        <v>2171.4082432536834</v>
      </c>
      <c r="M12" s="67">
        <v>92643.16125762521</v>
      </c>
    </row>
    <row r="13" spans="1:13" s="112" customFormat="1" ht="21">
      <c r="A13" s="159"/>
      <c r="B13" s="159"/>
      <c r="C13" s="110" t="s">
        <v>175</v>
      </c>
      <c r="D13" s="87">
        <f aca="true" t="shared" si="1" ref="D13:I13">SUM(D12)</f>
        <v>121</v>
      </c>
      <c r="E13" s="87">
        <f t="shared" si="1"/>
        <v>96.17</v>
      </c>
      <c r="F13" s="87">
        <f t="shared" si="1"/>
        <v>8300096.859768284</v>
      </c>
      <c r="G13" s="87">
        <f t="shared" si="1"/>
        <v>2646985.25497067</v>
      </c>
      <c r="H13" s="87">
        <f t="shared" si="1"/>
        <v>262740.3974336957</v>
      </c>
      <c r="I13" s="87">
        <f t="shared" si="1"/>
        <v>11209822.51217265</v>
      </c>
      <c r="J13" s="87">
        <f>+F13/D13</f>
        <v>68595.84181626681</v>
      </c>
      <c r="K13" s="87">
        <f>+G13/D13</f>
        <v>21875.911198104714</v>
      </c>
      <c r="L13" s="87">
        <f>+H13/D13</f>
        <v>2171.4082432536834</v>
      </c>
      <c r="M13" s="87">
        <f>SUM(J13:L13)</f>
        <v>92643.16125762521</v>
      </c>
    </row>
    <row r="14" spans="1:13" s="112" customFormat="1" ht="21">
      <c r="A14" s="159"/>
      <c r="B14" s="159"/>
      <c r="C14" s="110" t="s">
        <v>173</v>
      </c>
      <c r="D14" s="87"/>
      <c r="E14" s="87"/>
      <c r="F14" s="87"/>
      <c r="G14" s="87"/>
      <c r="H14" s="87"/>
      <c r="I14" s="87"/>
      <c r="J14" s="87">
        <f>+J13*100/M13</f>
        <v>74.04307116152178</v>
      </c>
      <c r="K14" s="87">
        <f>+K13*100/M13</f>
        <v>23.613088004705975</v>
      </c>
      <c r="L14" s="87">
        <f>+L13*100/M13</f>
        <v>2.34384083377224</v>
      </c>
      <c r="M14" s="87">
        <f>SUM(J14:L14)</f>
        <v>99.99999999999999</v>
      </c>
    </row>
    <row r="15" spans="1:13" ht="21">
      <c r="A15" s="66" t="s">
        <v>206</v>
      </c>
      <c r="B15" s="66" t="s">
        <v>116</v>
      </c>
      <c r="C15" s="109" t="s">
        <v>320</v>
      </c>
      <c r="D15" s="67">
        <v>125</v>
      </c>
      <c r="E15" s="67">
        <v>110.94</v>
      </c>
      <c r="F15" s="67">
        <v>5836845.100104637</v>
      </c>
      <c r="G15" s="67">
        <v>4157317.824648357</v>
      </c>
      <c r="H15" s="67">
        <v>464952.66608988954</v>
      </c>
      <c r="I15" s="67">
        <v>10459115.590842884</v>
      </c>
      <c r="J15" s="67">
        <v>46694.7608008371</v>
      </c>
      <c r="K15" s="67">
        <v>33258.54259718685</v>
      </c>
      <c r="L15" s="67">
        <v>3719.6213287191163</v>
      </c>
      <c r="M15" s="67">
        <v>83672.92472674308</v>
      </c>
    </row>
    <row r="16" spans="1:13" ht="21">
      <c r="A16" s="66" t="s">
        <v>206</v>
      </c>
      <c r="B16" s="66" t="s">
        <v>116</v>
      </c>
      <c r="C16" s="109" t="s">
        <v>321</v>
      </c>
      <c r="D16" s="67">
        <v>231</v>
      </c>
      <c r="E16" s="67">
        <v>197.31</v>
      </c>
      <c r="F16" s="67">
        <v>10380997.89707631</v>
      </c>
      <c r="G16" s="67">
        <v>7393910.041295902</v>
      </c>
      <c r="H16" s="67">
        <v>826931.7698413206</v>
      </c>
      <c r="I16" s="67">
        <v>18601839.708213534</v>
      </c>
      <c r="J16" s="67">
        <v>44939.38483582818</v>
      </c>
      <c r="K16" s="67">
        <v>32008.268577038536</v>
      </c>
      <c r="L16" s="67">
        <v>3579.791211434288</v>
      </c>
      <c r="M16" s="67">
        <v>80527.44462430102</v>
      </c>
    </row>
    <row r="17" spans="1:13" ht="21">
      <c r="A17" s="66" t="s">
        <v>206</v>
      </c>
      <c r="B17" s="66" t="s">
        <v>116</v>
      </c>
      <c r="C17" s="109" t="s">
        <v>322</v>
      </c>
      <c r="D17" s="67">
        <v>159</v>
      </c>
      <c r="E17" s="67">
        <v>123.97</v>
      </c>
      <c r="F17" s="67">
        <v>6522387.660536974</v>
      </c>
      <c r="G17" s="67">
        <v>4645598.438089569</v>
      </c>
      <c r="H17" s="67">
        <v>519561.7632518803</v>
      </c>
      <c r="I17" s="67">
        <v>11687547.861878423</v>
      </c>
      <c r="J17" s="67">
        <v>41021.30604111304</v>
      </c>
      <c r="K17" s="67">
        <v>29217.60023955704</v>
      </c>
      <c r="L17" s="67">
        <v>3267.68404560931</v>
      </c>
      <c r="M17" s="67">
        <v>73506.59032627939</v>
      </c>
    </row>
    <row r="18" spans="1:16" s="154" customFormat="1" ht="21">
      <c r="A18" s="66" t="s">
        <v>206</v>
      </c>
      <c r="B18" s="66" t="s">
        <v>116</v>
      </c>
      <c r="C18" s="109" t="s">
        <v>314</v>
      </c>
      <c r="D18" s="67">
        <v>34</v>
      </c>
      <c r="E18" s="67">
        <v>17.86</v>
      </c>
      <c r="F18" s="67">
        <v>939661.5601935174</v>
      </c>
      <c r="G18" s="67">
        <v>669277.9551849617</v>
      </c>
      <c r="H18" s="67">
        <v>74851.76326271343</v>
      </c>
      <c r="I18" s="67">
        <v>1683791.2786411922</v>
      </c>
      <c r="J18" s="67">
        <v>27637.10471157404</v>
      </c>
      <c r="K18" s="67">
        <v>19684.645740734166</v>
      </c>
      <c r="L18" s="67">
        <v>2201.522448903336</v>
      </c>
      <c r="M18" s="67">
        <v>49523.27290121154</v>
      </c>
      <c r="N18" s="23"/>
      <c r="O18" s="23"/>
      <c r="P18" s="23"/>
    </row>
    <row r="19" spans="1:16" s="154" customFormat="1" ht="21">
      <c r="A19" s="66" t="s">
        <v>206</v>
      </c>
      <c r="B19" s="66" t="s">
        <v>116</v>
      </c>
      <c r="C19" s="109" t="s">
        <v>315</v>
      </c>
      <c r="D19" s="67">
        <v>31</v>
      </c>
      <c r="E19" s="67">
        <v>17.22</v>
      </c>
      <c r="F19" s="67">
        <v>905989.4774094272</v>
      </c>
      <c r="G19" s="67">
        <v>645294.8705646719</v>
      </c>
      <c r="H19" s="67">
        <v>72169.50522866321</v>
      </c>
      <c r="I19" s="67">
        <v>1623453.8532027625</v>
      </c>
      <c r="J19" s="67">
        <v>29225.46701320733</v>
      </c>
      <c r="K19" s="67">
        <v>20815.96356660232</v>
      </c>
      <c r="L19" s="67">
        <v>2328.0485557633297</v>
      </c>
      <c r="M19" s="67">
        <v>52369.479135572976</v>
      </c>
      <c r="N19" s="23"/>
      <c r="O19" s="23"/>
      <c r="P19" s="23"/>
    </row>
    <row r="20" spans="1:16" s="154" customFormat="1" ht="21">
      <c r="A20" s="66" t="s">
        <v>206</v>
      </c>
      <c r="B20" s="66" t="s">
        <v>116</v>
      </c>
      <c r="C20" s="109" t="s">
        <v>316</v>
      </c>
      <c r="D20" s="67">
        <v>29</v>
      </c>
      <c r="E20" s="67">
        <v>16.11</v>
      </c>
      <c r="F20" s="67">
        <v>847589.4588307707</v>
      </c>
      <c r="G20" s="67">
        <v>603699.2081763569</v>
      </c>
      <c r="H20" s="67">
        <v>67517.4639508574</v>
      </c>
      <c r="I20" s="67">
        <v>1518806.1309579848</v>
      </c>
      <c r="J20" s="67">
        <v>29227.222718302437</v>
      </c>
      <c r="K20" s="67">
        <v>20817.214075046788</v>
      </c>
      <c r="L20" s="67">
        <v>2328.188412098531</v>
      </c>
      <c r="M20" s="67">
        <v>52372.62520544776</v>
      </c>
      <c r="N20" s="23"/>
      <c r="O20" s="23"/>
      <c r="P20" s="23"/>
    </row>
    <row r="21" spans="1:16" s="160" customFormat="1" ht="21">
      <c r="A21" s="159"/>
      <c r="B21" s="159"/>
      <c r="C21" s="110" t="s">
        <v>175</v>
      </c>
      <c r="D21" s="87">
        <f aca="true" t="shared" si="2" ref="D21:I21">SUM(D15:D20)</f>
        <v>609</v>
      </c>
      <c r="E21" s="87">
        <f t="shared" si="2"/>
        <v>483.4100000000001</v>
      </c>
      <c r="F21" s="87">
        <f t="shared" si="2"/>
        <v>25433471.154151633</v>
      </c>
      <c r="G21" s="87">
        <f t="shared" si="2"/>
        <v>18115098.33795982</v>
      </c>
      <c r="H21" s="87">
        <f t="shared" si="2"/>
        <v>2025984.9316253248</v>
      </c>
      <c r="I21" s="87">
        <f t="shared" si="2"/>
        <v>45574554.42373678</v>
      </c>
      <c r="J21" s="87">
        <f>+F21/D21</f>
        <v>41762.67841404209</v>
      </c>
      <c r="K21" s="87">
        <f>+G21/D21</f>
        <v>29745.645875139275</v>
      </c>
      <c r="L21" s="87">
        <f>+H21/D21</f>
        <v>3326.740446018596</v>
      </c>
      <c r="M21" s="87">
        <f>SUM(J21:L21)</f>
        <v>74835.06473519997</v>
      </c>
      <c r="N21" s="112"/>
      <c r="O21" s="112"/>
      <c r="P21" s="112"/>
    </row>
    <row r="22" spans="1:13" s="112" customFormat="1" ht="21">
      <c r="A22" s="159"/>
      <c r="B22" s="159"/>
      <c r="C22" s="110" t="s">
        <v>173</v>
      </c>
      <c r="D22" s="87"/>
      <c r="E22" s="87"/>
      <c r="F22" s="87"/>
      <c r="G22" s="87"/>
      <c r="H22" s="87"/>
      <c r="I22" s="87"/>
      <c r="J22" s="87">
        <f>+J21*100/M21</f>
        <v>55.806296903486604</v>
      </c>
      <c r="K22" s="87">
        <f>+K21*100/M21</f>
        <v>39.748273059417684</v>
      </c>
      <c r="L22" s="87">
        <f>+L21*100/M21</f>
        <v>4.445430037095707</v>
      </c>
      <c r="M22" s="87">
        <f>SUM(J22:L22)</f>
        <v>99.99999999999999</v>
      </c>
    </row>
    <row r="23" spans="1:13" ht="21">
      <c r="A23" s="66" t="s">
        <v>83</v>
      </c>
      <c r="B23" s="66" t="s">
        <v>75</v>
      </c>
      <c r="C23" s="66" t="s">
        <v>77</v>
      </c>
      <c r="D23" s="67">
        <v>162</v>
      </c>
      <c r="E23" s="67">
        <v>121.78</v>
      </c>
      <c r="F23" s="67">
        <v>6224834.836389268</v>
      </c>
      <c r="G23" s="67">
        <v>3721260.687324292</v>
      </c>
      <c r="H23" s="67">
        <v>495478.8710346631</v>
      </c>
      <c r="I23" s="67">
        <v>10441574.394748222</v>
      </c>
      <c r="J23" s="67">
        <v>38424.90639746462</v>
      </c>
      <c r="K23" s="67">
        <v>22970.744983483284</v>
      </c>
      <c r="L23" s="67">
        <v>3058.5115495966857</v>
      </c>
      <c r="M23" s="67">
        <v>64454.1629305446</v>
      </c>
    </row>
    <row r="24" spans="1:13" ht="21">
      <c r="A24" s="66" t="s">
        <v>83</v>
      </c>
      <c r="B24" s="66" t="s">
        <v>75</v>
      </c>
      <c r="C24" s="66" t="s">
        <v>79</v>
      </c>
      <c r="D24" s="67">
        <v>450</v>
      </c>
      <c r="E24" s="67">
        <v>330.22</v>
      </c>
      <c r="F24" s="67">
        <v>16879331.25038975</v>
      </c>
      <c r="G24" s="67">
        <v>10090611.793137033</v>
      </c>
      <c r="H24" s="67">
        <v>1343546.0074976718</v>
      </c>
      <c r="I24" s="67">
        <v>28313489.051024456</v>
      </c>
      <c r="J24" s="67">
        <v>37509.625000866115</v>
      </c>
      <c r="K24" s="67">
        <v>22423.581762526737</v>
      </c>
      <c r="L24" s="67">
        <v>2985.6577944392707</v>
      </c>
      <c r="M24" s="67">
        <v>62918.86455783212</v>
      </c>
    </row>
    <row r="25" spans="1:13" ht="21">
      <c r="A25" s="66" t="s">
        <v>83</v>
      </c>
      <c r="B25" s="66" t="s">
        <v>75</v>
      </c>
      <c r="C25" s="66" t="s">
        <v>311</v>
      </c>
      <c r="D25" s="67">
        <v>155</v>
      </c>
      <c r="E25" s="67">
        <v>87.91</v>
      </c>
      <c r="F25" s="67">
        <v>4493555.842231734</v>
      </c>
      <c r="G25" s="67">
        <v>2686286.9684897233</v>
      </c>
      <c r="H25" s="67">
        <v>357674.0643180919</v>
      </c>
      <c r="I25" s="67">
        <v>7537516.875039549</v>
      </c>
      <c r="J25" s="67">
        <v>28990.68285310796</v>
      </c>
      <c r="K25" s="67">
        <v>17330.883667675633</v>
      </c>
      <c r="L25" s="67">
        <v>2307.5746085038186</v>
      </c>
      <c r="M25" s="67">
        <v>48629.14112928741</v>
      </c>
    </row>
    <row r="26" spans="1:13" ht="21">
      <c r="A26" s="66" t="s">
        <v>83</v>
      </c>
      <c r="B26" s="66" t="s">
        <v>81</v>
      </c>
      <c r="C26" s="66" t="s">
        <v>79</v>
      </c>
      <c r="D26" s="67">
        <v>41</v>
      </c>
      <c r="E26" s="67">
        <v>24</v>
      </c>
      <c r="F26" s="67">
        <v>2127354.648399959</v>
      </c>
      <c r="G26" s="67">
        <v>1472064.4294039465</v>
      </c>
      <c r="H26" s="67">
        <v>131676.33002760453</v>
      </c>
      <c r="I26" s="67">
        <v>3731095.4078315096</v>
      </c>
      <c r="J26" s="67">
        <v>51886.69874146241</v>
      </c>
      <c r="K26" s="67">
        <v>35904.010473266986</v>
      </c>
      <c r="L26" s="67">
        <v>3211.61780555133</v>
      </c>
      <c r="M26" s="67">
        <v>91002.32702028073</v>
      </c>
    </row>
    <row r="27" spans="1:13" s="112" customFormat="1" ht="21">
      <c r="A27" s="159"/>
      <c r="B27" s="159"/>
      <c r="C27" s="110" t="s">
        <v>175</v>
      </c>
      <c r="D27" s="87">
        <f aca="true" t="shared" si="3" ref="D27:I27">SUM(D23:D26)</f>
        <v>808</v>
      </c>
      <c r="E27" s="87">
        <f t="shared" si="3"/>
        <v>563.91</v>
      </c>
      <c r="F27" s="87">
        <f t="shared" si="3"/>
        <v>29725076.577410717</v>
      </c>
      <c r="G27" s="87">
        <f t="shared" si="3"/>
        <v>17970223.878354996</v>
      </c>
      <c r="H27" s="87">
        <f t="shared" si="3"/>
        <v>2328375.2728780312</v>
      </c>
      <c r="I27" s="87">
        <f t="shared" si="3"/>
        <v>50023675.72864374</v>
      </c>
      <c r="J27" s="87">
        <f>+F27/D27</f>
        <v>36788.461110656826</v>
      </c>
      <c r="K27" s="87">
        <f>+G27/D27</f>
        <v>22240.376087073015</v>
      </c>
      <c r="L27" s="87">
        <f>+H27/D27</f>
        <v>2881.652565443108</v>
      </c>
      <c r="M27" s="87">
        <f>SUM(J27:L27)</f>
        <v>61910.48976317295</v>
      </c>
    </row>
    <row r="28" spans="1:13" s="112" customFormat="1" ht="21">
      <c r="A28" s="159"/>
      <c r="B28" s="159"/>
      <c r="C28" s="110" t="s">
        <v>173</v>
      </c>
      <c r="D28" s="87"/>
      <c r="E28" s="87"/>
      <c r="F28" s="87"/>
      <c r="G28" s="87"/>
      <c r="H28" s="87"/>
      <c r="I28" s="87"/>
      <c r="J28" s="87">
        <f>+J27*100/M27</f>
        <v>59.42201596431273</v>
      </c>
      <c r="K28" s="87">
        <f>+K27*100/M27</f>
        <v>35.923437485552824</v>
      </c>
      <c r="L28" s="87">
        <f>+L27*100/M27</f>
        <v>4.654546550134449</v>
      </c>
      <c r="M28" s="87">
        <f>SUM(J28:L28)</f>
        <v>100</v>
      </c>
    </row>
    <row r="29" spans="1:13" ht="21">
      <c r="A29" s="66" t="s">
        <v>98</v>
      </c>
      <c r="B29" s="66" t="s">
        <v>116</v>
      </c>
      <c r="C29" s="66" t="s">
        <v>119</v>
      </c>
      <c r="D29" s="67">
        <v>373</v>
      </c>
      <c r="E29" s="67">
        <v>250.73</v>
      </c>
      <c r="F29" s="67">
        <v>13191564.55696084</v>
      </c>
      <c r="G29" s="67">
        <v>9395748.135695715</v>
      </c>
      <c r="H29" s="67">
        <v>1050816.4951209482</v>
      </c>
      <c r="I29" s="67">
        <v>23638129.187777504</v>
      </c>
      <c r="J29" s="67">
        <v>35366.124817589385</v>
      </c>
      <c r="K29" s="67">
        <v>25189.67328604749</v>
      </c>
      <c r="L29" s="67">
        <v>2817.2023997880647</v>
      </c>
      <c r="M29" s="67">
        <v>63373.00050342494</v>
      </c>
    </row>
    <row r="30" spans="1:13" ht="21">
      <c r="A30" s="66" t="s">
        <v>98</v>
      </c>
      <c r="B30" s="66" t="s">
        <v>116</v>
      </c>
      <c r="C30" s="66" t="s">
        <v>136</v>
      </c>
      <c r="D30" s="67">
        <v>83</v>
      </c>
      <c r="E30" s="67">
        <v>78.19</v>
      </c>
      <c r="F30" s="67">
        <v>4113781.488887521</v>
      </c>
      <c r="G30" s="67">
        <v>2930058.4163444657</v>
      </c>
      <c r="H30" s="67">
        <v>327696.49325372686</v>
      </c>
      <c r="I30" s="67">
        <v>7371536.398485713</v>
      </c>
      <c r="J30" s="67">
        <v>49563.63239623519</v>
      </c>
      <c r="K30" s="67">
        <v>35301.90863065622</v>
      </c>
      <c r="L30" s="67">
        <v>3948.150521129239</v>
      </c>
      <c r="M30" s="67">
        <v>88813.69154802065</v>
      </c>
    </row>
    <row r="31" spans="1:13" ht="21">
      <c r="A31" s="66" t="s">
        <v>98</v>
      </c>
      <c r="B31" s="66" t="s">
        <v>120</v>
      </c>
      <c r="C31" s="66" t="s">
        <v>121</v>
      </c>
      <c r="D31" s="67">
        <v>175</v>
      </c>
      <c r="E31" s="67">
        <v>123.66</v>
      </c>
      <c r="F31" s="67">
        <v>7138713.8308264995</v>
      </c>
      <c r="G31" s="67">
        <v>3400775.2855837285</v>
      </c>
      <c r="H31" s="67">
        <v>512053.7176747949</v>
      </c>
      <c r="I31" s="67">
        <v>11051542.834085023</v>
      </c>
      <c r="J31" s="67">
        <v>40792.65046186571</v>
      </c>
      <c r="K31" s="67">
        <v>19433.00163190702</v>
      </c>
      <c r="L31" s="67">
        <v>2926.0212438559706</v>
      </c>
      <c r="M31" s="67">
        <v>63151.6733376287</v>
      </c>
    </row>
    <row r="32" spans="1:13" s="112" customFormat="1" ht="21">
      <c r="A32" s="159"/>
      <c r="B32" s="159"/>
      <c r="C32" s="110" t="s">
        <v>175</v>
      </c>
      <c r="D32" s="87">
        <f aca="true" t="shared" si="4" ref="D32:I32">SUM(D29:D31)</f>
        <v>631</v>
      </c>
      <c r="E32" s="87">
        <f t="shared" si="4"/>
        <v>452.5799999999999</v>
      </c>
      <c r="F32" s="87">
        <f t="shared" si="4"/>
        <v>24444059.87667486</v>
      </c>
      <c r="G32" s="87">
        <f t="shared" si="4"/>
        <v>15726581.83762391</v>
      </c>
      <c r="H32" s="87">
        <f t="shared" si="4"/>
        <v>1890566.70604947</v>
      </c>
      <c r="I32" s="87">
        <f t="shared" si="4"/>
        <v>42061208.42034824</v>
      </c>
      <c r="J32" s="87">
        <f>+F32/D32</f>
        <v>38738.605192828625</v>
      </c>
      <c r="K32" s="87">
        <f>+G32/D32</f>
        <v>24923.26757151174</v>
      </c>
      <c r="L32" s="87">
        <f>+H32/D32</f>
        <v>2996.1437496822027</v>
      </c>
      <c r="M32" s="87">
        <f>SUM(J32:L32)</f>
        <v>66658.01651402257</v>
      </c>
    </row>
    <row r="33" spans="1:13" s="112" customFormat="1" ht="21">
      <c r="A33" s="159"/>
      <c r="B33" s="159"/>
      <c r="C33" s="110" t="s">
        <v>173</v>
      </c>
      <c r="D33" s="87"/>
      <c r="E33" s="87"/>
      <c r="F33" s="87"/>
      <c r="G33" s="87"/>
      <c r="H33" s="87"/>
      <c r="I33" s="87"/>
      <c r="J33" s="87">
        <f>+J32*100/M32</f>
        <v>58.115448401737765</v>
      </c>
      <c r="K33" s="87">
        <f>+K32*100/M32</f>
        <v>37.38975276329852</v>
      </c>
      <c r="L33" s="87">
        <f>+L32*100/M32</f>
        <v>4.494798834963707</v>
      </c>
      <c r="M33" s="87">
        <f>SUM(J33:L33)</f>
        <v>99.99999999999999</v>
      </c>
    </row>
    <row r="34" spans="1:13" ht="21">
      <c r="A34" s="66" t="s">
        <v>57</v>
      </c>
      <c r="B34" s="66" t="s">
        <v>58</v>
      </c>
      <c r="C34" s="66" t="s">
        <v>51</v>
      </c>
      <c r="D34" s="67">
        <v>866</v>
      </c>
      <c r="E34" s="67">
        <v>647.03</v>
      </c>
      <c r="F34" s="67">
        <v>22140275.26412344</v>
      </c>
      <c r="G34" s="67">
        <v>15960607.56237129</v>
      </c>
      <c r="H34" s="67">
        <v>2163135.251706906</v>
      </c>
      <c r="I34" s="67">
        <v>40264018.07820164</v>
      </c>
      <c r="J34" s="67">
        <v>25566.137718387345</v>
      </c>
      <c r="K34" s="67">
        <v>18430.262774100796</v>
      </c>
      <c r="L34" s="67">
        <v>2497.8467109779517</v>
      </c>
      <c r="M34" s="67">
        <v>46494.2472034661</v>
      </c>
    </row>
    <row r="35" spans="1:13" ht="21">
      <c r="A35" s="66" t="s">
        <v>57</v>
      </c>
      <c r="B35" s="66" t="s">
        <v>58</v>
      </c>
      <c r="C35" s="66" t="s">
        <v>188</v>
      </c>
      <c r="D35" s="67">
        <v>502</v>
      </c>
      <c r="E35" s="67">
        <v>396.11</v>
      </c>
      <c r="F35" s="67">
        <v>13554216.087155055</v>
      </c>
      <c r="G35" s="67">
        <v>9771040.38689225</v>
      </c>
      <c r="H35" s="67">
        <v>1324265.4970459216</v>
      </c>
      <c r="I35" s="67">
        <v>24649521.971093226</v>
      </c>
      <c r="J35" s="67">
        <v>27000.43045250011</v>
      </c>
      <c r="K35" s="67">
        <v>19464.223878271416</v>
      </c>
      <c r="L35" s="67">
        <v>2637.97907778072</v>
      </c>
      <c r="M35" s="67">
        <v>49102.63340855225</v>
      </c>
    </row>
    <row r="36" spans="1:13" ht="21">
      <c r="A36" s="66" t="s">
        <v>57</v>
      </c>
      <c r="B36" s="66" t="s">
        <v>58</v>
      </c>
      <c r="C36" s="66" t="s">
        <v>189</v>
      </c>
      <c r="D36" s="67">
        <v>519</v>
      </c>
      <c r="E36" s="67">
        <v>367.97</v>
      </c>
      <c r="F36" s="67">
        <v>12591312.750474479</v>
      </c>
      <c r="G36" s="67">
        <v>9076897.152722076</v>
      </c>
      <c r="H36" s="67">
        <v>1230188.5207341088</v>
      </c>
      <c r="I36" s="67">
        <v>22898398.423930664</v>
      </c>
      <c r="J36" s="67">
        <v>24260.718209006704</v>
      </c>
      <c r="K36" s="67">
        <v>17489.20453318319</v>
      </c>
      <c r="L36" s="67">
        <v>2370.3054349404792</v>
      </c>
      <c r="M36" s="67">
        <v>44120.228177130375</v>
      </c>
    </row>
    <row r="37" spans="1:13" ht="21">
      <c r="A37" s="66" t="s">
        <v>57</v>
      </c>
      <c r="B37" s="66" t="s">
        <v>58</v>
      </c>
      <c r="C37" s="66" t="s">
        <v>190</v>
      </c>
      <c r="D37" s="67">
        <v>453</v>
      </c>
      <c r="E37" s="67">
        <v>312.86</v>
      </c>
      <c r="F37" s="67">
        <v>10705541.50369173</v>
      </c>
      <c r="G37" s="67">
        <v>7717471.650407991</v>
      </c>
      <c r="H37" s="67">
        <v>1045946.0841831487</v>
      </c>
      <c r="I37" s="67">
        <v>19468959.23828287</v>
      </c>
      <c r="J37" s="67">
        <v>23632.54195075437</v>
      </c>
      <c r="K37" s="67">
        <v>17036.36125917879</v>
      </c>
      <c r="L37" s="67">
        <v>2308.9317531636834</v>
      </c>
      <c r="M37" s="67">
        <v>42977.834963096844</v>
      </c>
    </row>
    <row r="38" spans="1:13" ht="21">
      <c r="A38" s="66" t="s">
        <v>57</v>
      </c>
      <c r="B38" s="66" t="s">
        <v>58</v>
      </c>
      <c r="C38" s="66" t="s">
        <v>191</v>
      </c>
      <c r="D38" s="67">
        <v>277</v>
      </c>
      <c r="E38" s="67">
        <v>200.73</v>
      </c>
      <c r="F38" s="67">
        <v>6868642.031694817</v>
      </c>
      <c r="G38" s="67">
        <v>4951505.7354292525</v>
      </c>
      <c r="H38" s="67">
        <v>671075.7446720047</v>
      </c>
      <c r="I38" s="67">
        <v>12491223.511796074</v>
      </c>
      <c r="J38" s="67">
        <v>24796.541630667212</v>
      </c>
      <c r="K38" s="67">
        <v>17875.47196905867</v>
      </c>
      <c r="L38" s="67">
        <v>2422.6561179494756</v>
      </c>
      <c r="M38" s="67">
        <v>45094.66971767536</v>
      </c>
    </row>
    <row r="39" spans="1:13" ht="21">
      <c r="A39" s="66" t="s">
        <v>57</v>
      </c>
      <c r="B39" s="66" t="s">
        <v>58</v>
      </c>
      <c r="C39" s="66" t="s">
        <v>59</v>
      </c>
      <c r="D39" s="67">
        <v>819</v>
      </c>
      <c r="E39" s="67">
        <v>617.53</v>
      </c>
      <c r="F39" s="67">
        <v>21130835.02133463</v>
      </c>
      <c r="G39" s="67">
        <v>15232916.538632123</v>
      </c>
      <c r="H39" s="67">
        <v>2064511.5558576353</v>
      </c>
      <c r="I39" s="67">
        <v>38428263.11582439</v>
      </c>
      <c r="J39" s="67">
        <v>25800.775361824944</v>
      </c>
      <c r="K39" s="67">
        <v>18599.409693079517</v>
      </c>
      <c r="L39" s="67">
        <v>2520.7711304733034</v>
      </c>
      <c r="M39" s="67">
        <v>46920.95618537776</v>
      </c>
    </row>
    <row r="40" spans="1:13" ht="21">
      <c r="A40" s="66" t="s">
        <v>57</v>
      </c>
      <c r="B40" s="66" t="s">
        <v>58</v>
      </c>
      <c r="C40" s="66" t="s">
        <v>60</v>
      </c>
      <c r="D40" s="67">
        <v>131</v>
      </c>
      <c r="E40" s="67">
        <v>104.39</v>
      </c>
      <c r="F40" s="67">
        <v>3572049.7269397797</v>
      </c>
      <c r="G40" s="67">
        <v>2575039.524343445</v>
      </c>
      <c r="H40" s="67">
        <v>348994.15626119956</v>
      </c>
      <c r="I40" s="67">
        <v>6496083.407544424</v>
      </c>
      <c r="J40" s="67">
        <v>27267.555167479233</v>
      </c>
      <c r="K40" s="67">
        <v>19656.7902621637</v>
      </c>
      <c r="L40" s="67">
        <v>2664.077528711447</v>
      </c>
      <c r="M40" s="67">
        <v>49588.42295835438</v>
      </c>
    </row>
    <row r="41" spans="1:13" ht="21">
      <c r="A41" s="66" t="s">
        <v>57</v>
      </c>
      <c r="B41" s="66" t="s">
        <v>64</v>
      </c>
      <c r="C41" s="66" t="s">
        <v>170</v>
      </c>
      <c r="D41" s="67">
        <v>26</v>
      </c>
      <c r="E41" s="67">
        <v>5.19</v>
      </c>
      <c r="F41" s="67">
        <v>260153.83607552934</v>
      </c>
      <c r="G41" s="67">
        <v>100241.59820416578</v>
      </c>
      <c r="H41" s="67">
        <v>11915.49905859356</v>
      </c>
      <c r="I41" s="67">
        <v>372310.9333382887</v>
      </c>
      <c r="J41" s="67">
        <v>10005.916772135744</v>
      </c>
      <c r="K41" s="67">
        <v>3855.4460847756072</v>
      </c>
      <c r="L41" s="67">
        <v>458.28842533052153</v>
      </c>
      <c r="M41" s="67">
        <v>14319.651282241874</v>
      </c>
    </row>
    <row r="42" spans="1:13" ht="21">
      <c r="A42" s="66" t="s">
        <v>57</v>
      </c>
      <c r="B42" s="66" t="s">
        <v>64</v>
      </c>
      <c r="C42" s="66" t="s">
        <v>242</v>
      </c>
      <c r="D42" s="67">
        <v>11</v>
      </c>
      <c r="E42" s="67">
        <v>4.25</v>
      </c>
      <c r="F42" s="67">
        <v>213035.41489807316</v>
      </c>
      <c r="G42" s="67">
        <v>82086.08716140743</v>
      </c>
      <c r="H42" s="67">
        <v>9757.393256073723</v>
      </c>
      <c r="I42" s="67">
        <v>304878.8953155543</v>
      </c>
      <c r="J42" s="67">
        <v>19366.855899824834</v>
      </c>
      <c r="K42" s="67">
        <v>7462.371560127948</v>
      </c>
      <c r="L42" s="67">
        <v>887.0357505521566</v>
      </c>
      <c r="M42" s="67">
        <v>27716.263210504938</v>
      </c>
    </row>
    <row r="43" spans="1:13" ht="21">
      <c r="A43" s="66" t="s">
        <v>57</v>
      </c>
      <c r="B43" s="66" t="s">
        <v>64</v>
      </c>
      <c r="C43" s="66" t="s">
        <v>323</v>
      </c>
      <c r="D43" s="67">
        <v>2</v>
      </c>
      <c r="E43" s="67">
        <v>0.17</v>
      </c>
      <c r="F43" s="67">
        <v>8521.416595922927</v>
      </c>
      <c r="G43" s="67">
        <v>3283.4434864562973</v>
      </c>
      <c r="H43" s="67">
        <v>390.29573024294893</v>
      </c>
      <c r="I43" s="67">
        <v>12195.155812622173</v>
      </c>
      <c r="J43" s="67">
        <v>4260.708297961463</v>
      </c>
      <c r="K43" s="67">
        <v>1641.7217432281486</v>
      </c>
      <c r="L43" s="67">
        <v>195.14786512147447</v>
      </c>
      <c r="M43" s="67">
        <v>6097.577906311087</v>
      </c>
    </row>
    <row r="44" spans="1:13" ht="21">
      <c r="A44" s="66" t="s">
        <v>57</v>
      </c>
      <c r="B44" s="66" t="s">
        <v>64</v>
      </c>
      <c r="C44" s="66" t="s">
        <v>325</v>
      </c>
      <c r="D44" s="67">
        <v>309</v>
      </c>
      <c r="E44" s="67">
        <v>226.5</v>
      </c>
      <c r="F44" s="67">
        <v>11353534.4645679</v>
      </c>
      <c r="G44" s="67">
        <v>4374705.586366773</v>
      </c>
      <c r="H44" s="67">
        <v>520011.6641178113</v>
      </c>
      <c r="I44" s="67">
        <v>16248251.715052484</v>
      </c>
      <c r="J44" s="67">
        <v>36742.829982420386</v>
      </c>
      <c r="K44" s="67">
        <v>14157.623256850397</v>
      </c>
      <c r="L44" s="67">
        <v>1682.8856443942113</v>
      </c>
      <c r="M44" s="67">
        <v>52583.338883665</v>
      </c>
    </row>
    <row r="45" spans="1:13" ht="21">
      <c r="A45" s="66" t="s">
        <v>57</v>
      </c>
      <c r="B45" s="66" t="s">
        <v>64</v>
      </c>
      <c r="C45" s="66" t="s">
        <v>326</v>
      </c>
      <c r="D45" s="67">
        <v>142</v>
      </c>
      <c r="E45" s="67">
        <v>137.44</v>
      </c>
      <c r="F45" s="67">
        <v>6889314.687903806</v>
      </c>
      <c r="G45" s="67">
        <v>2654567.4869326674</v>
      </c>
      <c r="H45" s="67">
        <v>315542.61861524056</v>
      </c>
      <c r="I45" s="67">
        <v>9859424.793451713</v>
      </c>
      <c r="J45" s="67">
        <v>48516.300619040885</v>
      </c>
      <c r="K45" s="67">
        <v>18694.137231920195</v>
      </c>
      <c r="L45" s="67">
        <v>2222.1311170087365</v>
      </c>
      <c r="M45" s="67">
        <v>69432.56896796983</v>
      </c>
    </row>
    <row r="46" spans="1:13" ht="21">
      <c r="A46" s="66" t="s">
        <v>57</v>
      </c>
      <c r="B46" s="66" t="s">
        <v>64</v>
      </c>
      <c r="C46" s="66" t="s">
        <v>324</v>
      </c>
      <c r="D46" s="67">
        <v>25</v>
      </c>
      <c r="E46" s="67">
        <v>24.25</v>
      </c>
      <c r="F46" s="67">
        <v>1215555.0144184174</v>
      </c>
      <c r="G46" s="67">
        <v>468373.5561562659</v>
      </c>
      <c r="H46" s="67">
        <v>55674.5379905383</v>
      </c>
      <c r="I46" s="67">
        <v>1739603.1085652215</v>
      </c>
      <c r="J46" s="67">
        <v>48622.20057673669</v>
      </c>
      <c r="K46" s="67">
        <v>18734.942246250637</v>
      </c>
      <c r="L46" s="67">
        <v>2226.9815196215322</v>
      </c>
      <c r="M46" s="67">
        <v>69584.12434260886</v>
      </c>
    </row>
    <row r="47" spans="1:13" ht="21">
      <c r="A47" s="66" t="s">
        <v>57</v>
      </c>
      <c r="B47" s="66" t="s">
        <v>64</v>
      </c>
      <c r="C47" s="66" t="s">
        <v>327</v>
      </c>
      <c r="D47" s="67">
        <v>18</v>
      </c>
      <c r="E47" s="67">
        <v>13.25</v>
      </c>
      <c r="F47" s="67">
        <v>664169.2346822281</v>
      </c>
      <c r="G47" s="67">
        <v>255915.44820909377</v>
      </c>
      <c r="H47" s="67">
        <v>30420.108386582782</v>
      </c>
      <c r="I47" s="67">
        <v>950504.7912779046</v>
      </c>
      <c r="J47" s="67">
        <v>36898.290815679335</v>
      </c>
      <c r="K47" s="67">
        <v>14217.52490050521</v>
      </c>
      <c r="L47" s="67">
        <v>1690.0060214768212</v>
      </c>
      <c r="M47" s="67">
        <v>52805.82173766137</v>
      </c>
    </row>
    <row r="48" spans="1:13" ht="21">
      <c r="A48" s="66" t="s">
        <v>57</v>
      </c>
      <c r="B48" s="66" t="s">
        <v>64</v>
      </c>
      <c r="C48" s="66" t="s">
        <v>328</v>
      </c>
      <c r="D48" s="67">
        <v>122</v>
      </c>
      <c r="E48" s="67">
        <v>92.25</v>
      </c>
      <c r="F48" s="67">
        <v>4624121.652787588</v>
      </c>
      <c r="G48" s="67">
        <v>1781750.9507387849</v>
      </c>
      <c r="H48" s="67">
        <v>211792.83008771786</v>
      </c>
      <c r="I48" s="67">
        <v>6617665.43361409</v>
      </c>
      <c r="J48" s="67">
        <v>37902.636498258915</v>
      </c>
      <c r="K48" s="67">
        <v>14604.515989662172</v>
      </c>
      <c r="L48" s="67">
        <v>1736.0068039976873</v>
      </c>
      <c r="M48" s="67">
        <v>54243.159291918775</v>
      </c>
    </row>
    <row r="49" spans="1:13" ht="21">
      <c r="A49" s="66" t="s">
        <v>57</v>
      </c>
      <c r="B49" s="66" t="s">
        <v>64</v>
      </c>
      <c r="C49" s="66" t="s">
        <v>329</v>
      </c>
      <c r="D49" s="67">
        <v>326</v>
      </c>
      <c r="E49" s="67">
        <v>232.11</v>
      </c>
      <c r="F49" s="67">
        <v>11634741.212233357</v>
      </c>
      <c r="G49" s="67">
        <v>4483059.221419831</v>
      </c>
      <c r="H49" s="67">
        <v>532891.4232158287</v>
      </c>
      <c r="I49" s="67">
        <v>16650691.856869016</v>
      </c>
      <c r="J49" s="67">
        <v>35689.390221574715</v>
      </c>
      <c r="K49" s="67">
        <v>13751.715403128315</v>
      </c>
      <c r="L49" s="67">
        <v>1634.6362675332168</v>
      </c>
      <c r="M49" s="67">
        <v>51075.74189223625</v>
      </c>
    </row>
    <row r="50" spans="1:13" ht="21">
      <c r="A50" s="66" t="s">
        <v>57</v>
      </c>
      <c r="B50" s="66" t="s">
        <v>64</v>
      </c>
      <c r="C50" s="66" t="s">
        <v>330</v>
      </c>
      <c r="D50" s="67">
        <v>68</v>
      </c>
      <c r="E50" s="67">
        <v>34.94</v>
      </c>
      <c r="F50" s="67">
        <v>1751401.7403620412</v>
      </c>
      <c r="G50" s="67">
        <v>674844.2083340178</v>
      </c>
      <c r="H50" s="67">
        <v>80217.25185110961</v>
      </c>
      <c r="I50" s="67">
        <v>2506463.200547169</v>
      </c>
      <c r="J50" s="67">
        <v>25755.907946500607</v>
      </c>
      <c r="K50" s="67">
        <v>9924.17953432379</v>
      </c>
      <c r="L50" s="67">
        <v>1179.6654683986708</v>
      </c>
      <c r="M50" s="67">
        <v>36859.75294922307</v>
      </c>
    </row>
    <row r="51" spans="1:13" ht="21">
      <c r="A51" s="66" t="s">
        <v>57</v>
      </c>
      <c r="B51" s="66" t="s">
        <v>72</v>
      </c>
      <c r="C51" s="66" t="s">
        <v>272</v>
      </c>
      <c r="D51" s="67">
        <v>80</v>
      </c>
      <c r="E51" s="67">
        <v>47.89</v>
      </c>
      <c r="F51" s="67">
        <v>3387101.1064707884</v>
      </c>
      <c r="G51" s="67">
        <v>942255.4665988953</v>
      </c>
      <c r="H51" s="67">
        <v>109161.93515572553</v>
      </c>
      <c r="I51" s="67">
        <v>4438518.508225408</v>
      </c>
      <c r="J51" s="67">
        <v>42338.763830884855</v>
      </c>
      <c r="K51" s="67">
        <v>11778.193332486191</v>
      </c>
      <c r="L51" s="67">
        <v>1364.5241894465692</v>
      </c>
      <c r="M51" s="67">
        <v>55481.48135281762</v>
      </c>
    </row>
    <row r="52" spans="1:13" ht="21">
      <c r="A52" s="66" t="s">
        <v>57</v>
      </c>
      <c r="B52" s="66" t="s">
        <v>114</v>
      </c>
      <c r="C52" s="66" t="s">
        <v>231</v>
      </c>
      <c r="D52" s="67">
        <v>109</v>
      </c>
      <c r="E52" s="67">
        <v>80.25</v>
      </c>
      <c r="F52" s="67">
        <v>8317215.342369195</v>
      </c>
      <c r="G52" s="67">
        <v>5832776.5741972625</v>
      </c>
      <c r="H52" s="67">
        <v>338271.55755404884</v>
      </c>
      <c r="I52" s="67">
        <v>14488263.474120507</v>
      </c>
      <c r="J52" s="67">
        <v>76304.72791164399</v>
      </c>
      <c r="K52" s="67">
        <v>53511.711689883145</v>
      </c>
      <c r="L52" s="67">
        <v>3103.4087848995305</v>
      </c>
      <c r="M52" s="67">
        <v>132919.84838642666</v>
      </c>
    </row>
    <row r="53" spans="1:13" ht="21">
      <c r="A53" s="66" t="s">
        <v>57</v>
      </c>
      <c r="B53" s="66" t="s">
        <v>114</v>
      </c>
      <c r="C53" s="66" t="s">
        <v>242</v>
      </c>
      <c r="D53" s="67">
        <v>27</v>
      </c>
      <c r="E53" s="67">
        <v>16.08</v>
      </c>
      <c r="F53" s="67">
        <v>1666552.3078541637</v>
      </c>
      <c r="G53" s="67">
        <v>1168735.7920634511</v>
      </c>
      <c r="H53" s="67">
        <v>67780.76816783931</v>
      </c>
      <c r="I53" s="67">
        <v>2903068.868085454</v>
      </c>
      <c r="J53" s="67">
        <v>61724.15955015421</v>
      </c>
      <c r="K53" s="67">
        <v>43286.51081716485</v>
      </c>
      <c r="L53" s="67">
        <v>2510.398821031086</v>
      </c>
      <c r="M53" s="67">
        <v>107521.06918835016</v>
      </c>
    </row>
    <row r="54" spans="1:13" ht="21">
      <c r="A54" s="66"/>
      <c r="B54" s="66"/>
      <c r="C54" s="110" t="s">
        <v>175</v>
      </c>
      <c r="D54" s="87">
        <f aca="true" t="shared" si="5" ref="D54:I54">SUM(D34:D53)</f>
        <v>4832</v>
      </c>
      <c r="E54" s="87">
        <f t="shared" si="5"/>
        <v>3561.1899999999996</v>
      </c>
      <c r="F54" s="87">
        <f t="shared" si="5"/>
        <v>142548289.816633</v>
      </c>
      <c r="G54" s="87">
        <f t="shared" si="5"/>
        <v>88108073.97066748</v>
      </c>
      <c r="H54" s="87">
        <f t="shared" si="5"/>
        <v>11131944.693648279</v>
      </c>
      <c r="I54" s="87">
        <f t="shared" si="5"/>
        <v>241788308.4809487</v>
      </c>
      <c r="J54" s="87">
        <f>+F54/D54</f>
        <v>29500.887793177357</v>
      </c>
      <c r="K54" s="87">
        <f>+G54/D54</f>
        <v>18234.286831677873</v>
      </c>
      <c r="L54" s="87">
        <f>+H54/D54</f>
        <v>2303.7965011689316</v>
      </c>
      <c r="M54" s="87">
        <f>SUM(J54:L54)</f>
        <v>50038.97112602416</v>
      </c>
    </row>
    <row r="55" spans="1:13" ht="21">
      <c r="A55" s="66"/>
      <c r="B55" s="66"/>
      <c r="C55" s="110" t="s">
        <v>173</v>
      </c>
      <c r="D55" s="87"/>
      <c r="E55" s="87"/>
      <c r="F55" s="87"/>
      <c r="G55" s="87"/>
      <c r="H55" s="87"/>
      <c r="I55" s="87"/>
      <c r="J55" s="87">
        <f>+J54*100/M54</f>
        <v>58.95582408934583</v>
      </c>
      <c r="K55" s="87">
        <f>+K54*100/M54</f>
        <v>36.440171373137254</v>
      </c>
      <c r="L55" s="87">
        <f>+L54*100/M54</f>
        <v>4.604004537516916</v>
      </c>
      <c r="M55" s="87">
        <f>SUM(J55:L55)</f>
        <v>100</v>
      </c>
    </row>
    <row r="56" spans="1:13" ht="21">
      <c r="A56" s="66" t="s">
        <v>251</v>
      </c>
      <c r="B56" s="66" t="s">
        <v>58</v>
      </c>
      <c r="C56" s="66" t="s">
        <v>53</v>
      </c>
      <c r="D56" s="67">
        <v>860</v>
      </c>
      <c r="E56" s="67">
        <v>617.75</v>
      </c>
      <c r="F56" s="67">
        <v>21138363.050263904</v>
      </c>
      <c r="G56" s="67">
        <v>15238343.386944754</v>
      </c>
      <c r="H56" s="67">
        <v>2065247.054606342</v>
      </c>
      <c r="I56" s="67">
        <v>38441953.491815</v>
      </c>
      <c r="J56" s="67">
        <v>24579.491918911517</v>
      </c>
      <c r="K56" s="67">
        <v>17719.003938307855</v>
      </c>
      <c r="L56" s="67">
        <v>2401.4500634957467</v>
      </c>
      <c r="M56" s="67">
        <v>44699.945920715116</v>
      </c>
    </row>
    <row r="57" spans="1:13" ht="21">
      <c r="A57" s="66" t="s">
        <v>62</v>
      </c>
      <c r="B57" s="66" t="s">
        <v>64</v>
      </c>
      <c r="C57" s="66" t="s">
        <v>169</v>
      </c>
      <c r="D57" s="67">
        <v>512</v>
      </c>
      <c r="E57" s="67">
        <v>447.19</v>
      </c>
      <c r="F57" s="67">
        <v>22415836.985475138</v>
      </c>
      <c r="G57" s="67">
        <v>8637194.662990538</v>
      </c>
      <c r="H57" s="67">
        <v>1026684.3976902608</v>
      </c>
      <c r="I57" s="67">
        <v>32079716.046155937</v>
      </c>
      <c r="J57" s="67">
        <v>43780.93161225613</v>
      </c>
      <c r="K57" s="67">
        <v>16869.520826153395</v>
      </c>
      <c r="L57" s="67">
        <v>2005.2429642387906</v>
      </c>
      <c r="M57" s="67">
        <v>62655.695402648314</v>
      </c>
    </row>
    <row r="58" spans="1:13" ht="21">
      <c r="A58" s="66" t="s">
        <v>62</v>
      </c>
      <c r="B58" s="66" t="s">
        <v>72</v>
      </c>
      <c r="C58" s="66" t="s">
        <v>169</v>
      </c>
      <c r="D58" s="67">
        <v>278</v>
      </c>
      <c r="E58" s="67">
        <v>191.42</v>
      </c>
      <c r="F58" s="67">
        <v>13538502.68951009</v>
      </c>
      <c r="G58" s="67">
        <v>3766267.3087567445</v>
      </c>
      <c r="H58" s="67">
        <v>436328.62032802205</v>
      </c>
      <c r="I58" s="67">
        <v>17741098.618594855</v>
      </c>
      <c r="J58" s="67">
        <v>48699.649962266514</v>
      </c>
      <c r="K58" s="67">
        <v>13547.724132218505</v>
      </c>
      <c r="L58" s="67">
        <v>1569.527411251878</v>
      </c>
      <c r="M58" s="67">
        <v>63816.901505736896</v>
      </c>
    </row>
    <row r="59" spans="1:13" ht="21">
      <c r="A59" s="66" t="s">
        <v>62</v>
      </c>
      <c r="B59" s="66" t="s">
        <v>114</v>
      </c>
      <c r="C59" s="66" t="s">
        <v>169</v>
      </c>
      <c r="D59" s="67">
        <v>118</v>
      </c>
      <c r="E59" s="67">
        <v>81.11</v>
      </c>
      <c r="F59" s="67">
        <v>8406346.871271843</v>
      </c>
      <c r="G59" s="67">
        <v>5895283.5879519</v>
      </c>
      <c r="H59" s="67">
        <v>341896.64838889596</v>
      </c>
      <c r="I59" s="67">
        <v>14643527.10761264</v>
      </c>
      <c r="J59" s="67">
        <v>71240.22772264274</v>
      </c>
      <c r="K59" s="67">
        <v>49960.03040637204</v>
      </c>
      <c r="L59" s="67">
        <v>2897.4292236347114</v>
      </c>
      <c r="M59" s="67">
        <v>124097.68735264949</v>
      </c>
    </row>
    <row r="60" spans="1:13" ht="21">
      <c r="A60" s="66" t="s">
        <v>62</v>
      </c>
      <c r="B60" s="66" t="s">
        <v>52</v>
      </c>
      <c r="C60" s="66" t="s">
        <v>319</v>
      </c>
      <c r="D60" s="67">
        <v>36</v>
      </c>
      <c r="E60" s="67">
        <v>21.89</v>
      </c>
      <c r="F60" s="67">
        <v>1812493.556460188</v>
      </c>
      <c r="G60" s="67">
        <v>1226213.532917494</v>
      </c>
      <c r="H60" s="67">
        <v>129006.98115943884</v>
      </c>
      <c r="I60" s="67">
        <v>3167714.0705371206</v>
      </c>
      <c r="J60" s="67">
        <v>50347.04323500522</v>
      </c>
      <c r="K60" s="67">
        <v>34061.48702548594</v>
      </c>
      <c r="L60" s="67">
        <v>3583.527254428857</v>
      </c>
      <c r="M60" s="67">
        <v>87992.05751492002</v>
      </c>
    </row>
    <row r="61" spans="1:13" ht="21">
      <c r="A61" s="66"/>
      <c r="B61" s="66"/>
      <c r="C61" s="110" t="s">
        <v>175</v>
      </c>
      <c r="D61" s="87">
        <f aca="true" t="shared" si="6" ref="D61:I61">SUM(D56:D60)</f>
        <v>1804</v>
      </c>
      <c r="E61" s="87">
        <f t="shared" si="6"/>
        <v>1359.3600000000001</v>
      </c>
      <c r="F61" s="87">
        <f t="shared" si="6"/>
        <v>67311543.15298116</v>
      </c>
      <c r="G61" s="87">
        <f t="shared" si="6"/>
        <v>34763302.479561426</v>
      </c>
      <c r="H61" s="87">
        <f t="shared" si="6"/>
        <v>3999163.7021729597</v>
      </c>
      <c r="I61" s="87">
        <f t="shared" si="6"/>
        <v>106074009.33471555</v>
      </c>
      <c r="J61" s="87">
        <f>+F61/D61</f>
        <v>37312.38533979</v>
      </c>
      <c r="K61" s="87">
        <f>+G61/D61</f>
        <v>19270.12332569924</v>
      </c>
      <c r="L61" s="87">
        <f>+H61/D61</f>
        <v>2216.8313204949886</v>
      </c>
      <c r="M61" s="87">
        <f>SUM(J61:L61)</f>
        <v>58799.339985984225</v>
      </c>
    </row>
    <row r="62" spans="1:13" ht="21">
      <c r="A62" s="66"/>
      <c r="B62" s="66"/>
      <c r="C62" s="110" t="s">
        <v>173</v>
      </c>
      <c r="D62" s="87"/>
      <c r="E62" s="87"/>
      <c r="F62" s="87"/>
      <c r="G62" s="87"/>
      <c r="H62" s="87"/>
      <c r="I62" s="87"/>
      <c r="J62" s="87">
        <f>+J61*100/M61</f>
        <v>63.45714994196195</v>
      </c>
      <c r="K62" s="87">
        <f>+K61*100/M61</f>
        <v>32.77268644561756</v>
      </c>
      <c r="L62" s="87">
        <f>+L61*100/M61</f>
        <v>3.7701636124204905</v>
      </c>
      <c r="M62" s="87">
        <f>SUM(J62:L62)</f>
        <v>100</v>
      </c>
    </row>
    <row r="63" spans="1:13" ht="21">
      <c r="A63" s="66" t="s">
        <v>276</v>
      </c>
      <c r="B63" s="66" t="s">
        <v>97</v>
      </c>
      <c r="C63" s="66" t="s">
        <v>196</v>
      </c>
      <c r="D63" s="67">
        <v>73</v>
      </c>
      <c r="E63" s="67">
        <v>64.33</v>
      </c>
      <c r="F63" s="67">
        <v>6597896.706720688</v>
      </c>
      <c r="G63" s="67">
        <v>2223419.412415243</v>
      </c>
      <c r="H63" s="67">
        <v>146635.77444853264</v>
      </c>
      <c r="I63" s="67">
        <v>8967951.893584464</v>
      </c>
      <c r="J63" s="67">
        <v>90382.14666740669</v>
      </c>
      <c r="K63" s="67">
        <v>30457.800170071823</v>
      </c>
      <c r="L63" s="67">
        <v>2008.709239020995</v>
      </c>
      <c r="M63" s="67">
        <v>122848.65607649952</v>
      </c>
    </row>
    <row r="64" spans="1:13" ht="21">
      <c r="A64" s="66" t="s">
        <v>276</v>
      </c>
      <c r="B64" s="66" t="s">
        <v>97</v>
      </c>
      <c r="C64" s="66" t="s">
        <v>197</v>
      </c>
      <c r="D64" s="67">
        <v>2</v>
      </c>
      <c r="E64" s="67">
        <v>0.33</v>
      </c>
      <c r="F64" s="67">
        <v>33845.8870389838</v>
      </c>
      <c r="G64" s="67">
        <v>11405.695726675427</v>
      </c>
      <c r="H64" s="67">
        <v>752.2121182654404</v>
      </c>
      <c r="I64" s="67">
        <v>46003.79488392466</v>
      </c>
      <c r="J64" s="67">
        <v>16922.9435194919</v>
      </c>
      <c r="K64" s="67">
        <v>5702.8478633377135</v>
      </c>
      <c r="L64" s="67">
        <v>376.1060591327202</v>
      </c>
      <c r="M64" s="67">
        <v>23001.89744196233</v>
      </c>
    </row>
    <row r="65" spans="1:13" ht="21">
      <c r="A65" s="66" t="s">
        <v>276</v>
      </c>
      <c r="B65" s="66" t="s">
        <v>97</v>
      </c>
      <c r="C65" s="66" t="s">
        <v>198</v>
      </c>
      <c r="D65" s="67">
        <v>3</v>
      </c>
      <c r="E65" s="67">
        <v>0.5</v>
      </c>
      <c r="F65" s="67">
        <v>51281.64702876332</v>
      </c>
      <c r="G65" s="67">
        <v>17281.357161629436</v>
      </c>
      <c r="H65" s="67">
        <v>1139.7153307052124</v>
      </c>
      <c r="I65" s="67">
        <v>69702.71952109797</v>
      </c>
      <c r="J65" s="67">
        <v>17093.882342921108</v>
      </c>
      <c r="K65" s="67">
        <v>5760.452387209812</v>
      </c>
      <c r="L65" s="67">
        <v>379.9051102350708</v>
      </c>
      <c r="M65" s="67">
        <v>23234.23984036599</v>
      </c>
    </row>
    <row r="66" spans="1:13" ht="21">
      <c r="A66" s="66" t="s">
        <v>276</v>
      </c>
      <c r="B66" s="66" t="s">
        <v>97</v>
      </c>
      <c r="C66" s="66" t="s">
        <v>227</v>
      </c>
      <c r="D66" s="67">
        <v>66</v>
      </c>
      <c r="E66" s="67">
        <v>55.31</v>
      </c>
      <c r="F66" s="67">
        <v>5672775.794321799</v>
      </c>
      <c r="G66" s="67">
        <v>1911663.7292194483</v>
      </c>
      <c r="H66" s="67">
        <v>126075.3098826106</v>
      </c>
      <c r="I66" s="67">
        <v>7710514.8334238585</v>
      </c>
      <c r="J66" s="67">
        <v>85951.14839881513</v>
      </c>
      <c r="K66" s="67">
        <v>28964.60195787043</v>
      </c>
      <c r="L66" s="67">
        <v>1910.2319679183424</v>
      </c>
      <c r="M66" s="67">
        <v>116825.9823246039</v>
      </c>
    </row>
    <row r="67" spans="1:13" ht="21">
      <c r="A67" s="66" t="s">
        <v>276</v>
      </c>
      <c r="B67" s="66" t="s">
        <v>97</v>
      </c>
      <c r="C67" s="66" t="s">
        <v>199</v>
      </c>
      <c r="D67" s="67">
        <v>13</v>
      </c>
      <c r="E67" s="67">
        <v>4.58</v>
      </c>
      <c r="F67" s="67">
        <v>469739.8867834721</v>
      </c>
      <c r="G67" s="67">
        <v>158297.2316005256</v>
      </c>
      <c r="H67" s="67">
        <v>10439.792429259747</v>
      </c>
      <c r="I67" s="67">
        <v>638476.9108132574</v>
      </c>
      <c r="J67" s="67">
        <v>36133.83744488247</v>
      </c>
      <c r="K67" s="67">
        <v>12176.710123117355</v>
      </c>
      <c r="L67" s="67">
        <v>803.0609560969036</v>
      </c>
      <c r="M67" s="67">
        <v>49113.60852409672</v>
      </c>
    </row>
    <row r="68" spans="1:13" ht="21">
      <c r="A68" s="66" t="s">
        <v>276</v>
      </c>
      <c r="B68" s="66" t="s">
        <v>97</v>
      </c>
      <c r="C68" s="66" t="s">
        <v>200</v>
      </c>
      <c r="D68" s="67">
        <v>12</v>
      </c>
      <c r="E68" s="67">
        <v>1.92</v>
      </c>
      <c r="F68" s="67">
        <v>196921.52459045112</v>
      </c>
      <c r="G68" s="67">
        <v>66360.41150065702</v>
      </c>
      <c r="H68" s="67">
        <v>4376.506869908016</v>
      </c>
      <c r="I68" s="67">
        <v>267658.44296101615</v>
      </c>
      <c r="J68" s="67">
        <v>16410.12704920426</v>
      </c>
      <c r="K68" s="67">
        <v>5530.034291721418</v>
      </c>
      <c r="L68" s="67">
        <v>364.70890582566796</v>
      </c>
      <c r="M68" s="67">
        <v>22304.870246751347</v>
      </c>
    </row>
    <row r="69" spans="1:13" ht="21">
      <c r="A69" s="66" t="s">
        <v>276</v>
      </c>
      <c r="B69" s="66" t="s">
        <v>97</v>
      </c>
      <c r="C69" s="66" t="s">
        <v>201</v>
      </c>
      <c r="D69" s="67">
        <v>15</v>
      </c>
      <c r="E69" s="67">
        <v>16.11</v>
      </c>
      <c r="F69" s="67">
        <v>1652294.667266754</v>
      </c>
      <c r="G69" s="67">
        <v>556805.3277477004</v>
      </c>
      <c r="H69" s="67">
        <v>36721.62795532195</v>
      </c>
      <c r="I69" s="67">
        <v>2245821.6229697764</v>
      </c>
      <c r="J69" s="67">
        <v>110152.9778177836</v>
      </c>
      <c r="K69" s="67">
        <v>37120.35518318003</v>
      </c>
      <c r="L69" s="67">
        <v>2448.1085303547966</v>
      </c>
      <c r="M69" s="67">
        <v>149721.4415313184</v>
      </c>
    </row>
    <row r="70" spans="1:13" ht="21">
      <c r="A70" s="66" t="s">
        <v>276</v>
      </c>
      <c r="B70" s="66" t="s">
        <v>225</v>
      </c>
      <c r="C70" s="66" t="s">
        <v>153</v>
      </c>
      <c r="D70" s="67">
        <v>132</v>
      </c>
      <c r="E70" s="67">
        <v>111.86</v>
      </c>
      <c r="F70" s="67">
        <v>6106850.265519713</v>
      </c>
      <c r="G70" s="67">
        <v>2274641.3713500593</v>
      </c>
      <c r="H70" s="67">
        <v>254977.11471923537</v>
      </c>
      <c r="I70" s="67">
        <v>8636468.751589008</v>
      </c>
      <c r="J70" s="67">
        <v>46264.017163028126</v>
      </c>
      <c r="K70" s="67">
        <v>17232.131601136814</v>
      </c>
      <c r="L70" s="67">
        <v>1931.6448084790559</v>
      </c>
      <c r="M70" s="67">
        <v>65427.793572644</v>
      </c>
    </row>
    <row r="71" spans="1:13" ht="21">
      <c r="A71" s="66" t="s">
        <v>276</v>
      </c>
      <c r="B71" s="66" t="s">
        <v>225</v>
      </c>
      <c r="C71" s="66" t="s">
        <v>154</v>
      </c>
      <c r="D71" s="67">
        <v>24</v>
      </c>
      <c r="E71" s="67">
        <v>2.67</v>
      </c>
      <c r="F71" s="67">
        <v>145765.1547375079</v>
      </c>
      <c r="G71" s="67">
        <v>54293.692664979964</v>
      </c>
      <c r="H71" s="67">
        <v>6086.079888256378</v>
      </c>
      <c r="I71" s="67">
        <v>206144.92729074424</v>
      </c>
      <c r="J71" s="67">
        <v>6073.548114062829</v>
      </c>
      <c r="K71" s="67">
        <v>2262.237194374165</v>
      </c>
      <c r="L71" s="67">
        <v>253.5866620106824</v>
      </c>
      <c r="M71" s="67">
        <v>8589.371970447677</v>
      </c>
    </row>
    <row r="72" spans="1:13" ht="21">
      <c r="A72" s="66" t="s">
        <v>276</v>
      </c>
      <c r="B72" s="66" t="s">
        <v>225</v>
      </c>
      <c r="C72" s="66" t="s">
        <v>236</v>
      </c>
      <c r="D72" s="67">
        <v>9</v>
      </c>
      <c r="E72" s="67">
        <v>3.67</v>
      </c>
      <c r="F72" s="67">
        <v>200358.84565043222</v>
      </c>
      <c r="G72" s="67">
        <v>74628.40901890505</v>
      </c>
      <c r="H72" s="67">
        <v>8365.51055801532</v>
      </c>
      <c r="I72" s="67">
        <v>283352.7652273526</v>
      </c>
      <c r="J72" s="67">
        <v>22262.093961159135</v>
      </c>
      <c r="K72" s="67">
        <v>8292.045446545006</v>
      </c>
      <c r="L72" s="67">
        <v>929.5011731128133</v>
      </c>
      <c r="M72" s="67">
        <v>31483.640580816955</v>
      </c>
    </row>
    <row r="73" spans="1:13" ht="21">
      <c r="A73" s="66" t="s">
        <v>80</v>
      </c>
      <c r="B73" s="66" t="s">
        <v>81</v>
      </c>
      <c r="C73" s="66" t="s">
        <v>275</v>
      </c>
      <c r="D73" s="67">
        <v>5</v>
      </c>
      <c r="E73" s="67">
        <v>2.78</v>
      </c>
      <c r="F73" s="67">
        <v>246418.58010632856</v>
      </c>
      <c r="G73" s="67">
        <v>170514.12973929045</v>
      </c>
      <c r="H73" s="67">
        <v>15252.508228197525</v>
      </c>
      <c r="I73" s="67">
        <v>432185.21807381656</v>
      </c>
      <c r="J73" s="67">
        <v>49283.71602126571</v>
      </c>
      <c r="K73" s="67">
        <v>34102.82594785809</v>
      </c>
      <c r="L73" s="67">
        <v>3050.501645639505</v>
      </c>
      <c r="M73" s="67">
        <v>86437.0436147633</v>
      </c>
    </row>
    <row r="74" spans="1:13" ht="21">
      <c r="A74" s="66" t="s">
        <v>80</v>
      </c>
      <c r="B74" s="66" t="s">
        <v>81</v>
      </c>
      <c r="C74" s="66" t="s">
        <v>312</v>
      </c>
      <c r="D74" s="67">
        <v>71</v>
      </c>
      <c r="E74" s="67">
        <v>71.03</v>
      </c>
      <c r="F74" s="67">
        <v>6296083.361493712</v>
      </c>
      <c r="G74" s="67">
        <v>4356697.350856763</v>
      </c>
      <c r="H74" s="67">
        <v>389707.071744198</v>
      </c>
      <c r="I74" s="67">
        <v>11042487.784094675</v>
      </c>
      <c r="J74" s="67">
        <v>88677.23044357341</v>
      </c>
      <c r="K74" s="67">
        <v>61361.934519109345</v>
      </c>
      <c r="L74" s="67">
        <v>5488.831996397154</v>
      </c>
      <c r="M74" s="67">
        <v>155527.9969590799</v>
      </c>
    </row>
    <row r="75" spans="1:13" ht="21">
      <c r="A75" s="66" t="s">
        <v>80</v>
      </c>
      <c r="B75" s="66" t="s">
        <v>85</v>
      </c>
      <c r="C75" s="66" t="s">
        <v>331</v>
      </c>
      <c r="D75" s="67">
        <v>257</v>
      </c>
      <c r="E75" s="67">
        <v>183.89</v>
      </c>
      <c r="F75" s="67">
        <v>10567172.652774166</v>
      </c>
      <c r="G75" s="67">
        <v>6264696.976398878</v>
      </c>
      <c r="H75" s="67">
        <v>511330.90349252016</v>
      </c>
      <c r="I75" s="67">
        <v>17343200.532665566</v>
      </c>
      <c r="J75" s="67">
        <v>41117.40331818742</v>
      </c>
      <c r="K75" s="67">
        <v>24376.252826454776</v>
      </c>
      <c r="L75" s="67">
        <v>1989.614410476732</v>
      </c>
      <c r="M75" s="67">
        <v>67483.27055511893</v>
      </c>
    </row>
    <row r="76" spans="1:13" ht="21">
      <c r="A76" s="66" t="s">
        <v>80</v>
      </c>
      <c r="B76" s="66" t="s">
        <v>85</v>
      </c>
      <c r="C76" s="66" t="s">
        <v>332</v>
      </c>
      <c r="D76" s="67">
        <v>219</v>
      </c>
      <c r="E76" s="67">
        <v>161.05</v>
      </c>
      <c r="F76" s="67">
        <v>9254680.274779921</v>
      </c>
      <c r="G76" s="67">
        <v>5486592.245630755</v>
      </c>
      <c r="H76" s="67">
        <v>447821.20837169176</v>
      </c>
      <c r="I76" s="67">
        <v>15189093.728782367</v>
      </c>
      <c r="J76" s="67">
        <v>42258.81404009097</v>
      </c>
      <c r="K76" s="67">
        <v>25052.932628450937</v>
      </c>
      <c r="L76" s="67">
        <v>2044.8457003273595</v>
      </c>
      <c r="M76" s="67">
        <v>69356.59236886927</v>
      </c>
    </row>
    <row r="77" spans="1:13" ht="21">
      <c r="A77" s="66" t="s">
        <v>80</v>
      </c>
      <c r="B77" s="66" t="s">
        <v>85</v>
      </c>
      <c r="C77" s="66" t="s">
        <v>333</v>
      </c>
      <c r="D77" s="67">
        <v>158</v>
      </c>
      <c r="E77" s="67">
        <v>114.75</v>
      </c>
      <c r="F77" s="67">
        <v>6594067.441980725</v>
      </c>
      <c r="G77" s="67">
        <v>3909260.851823217</v>
      </c>
      <c r="H77" s="67">
        <v>319077.8246547757</v>
      </c>
      <c r="I77" s="67">
        <v>10822406.118458718</v>
      </c>
      <c r="J77" s="67">
        <v>41734.60406316914</v>
      </c>
      <c r="K77" s="67">
        <v>24742.15729002036</v>
      </c>
      <c r="L77" s="67">
        <v>2019.479902878327</v>
      </c>
      <c r="M77" s="67">
        <v>68496.24125606783</v>
      </c>
    </row>
    <row r="78" spans="1:13" ht="21">
      <c r="A78" s="66" t="s">
        <v>80</v>
      </c>
      <c r="B78" s="66" t="s">
        <v>85</v>
      </c>
      <c r="C78" s="66" t="s">
        <v>334</v>
      </c>
      <c r="D78" s="67">
        <v>31</v>
      </c>
      <c r="E78" s="67">
        <v>27.97</v>
      </c>
      <c r="F78" s="67">
        <v>1607285.9812827965</v>
      </c>
      <c r="G78" s="67">
        <v>952871.6864966917</v>
      </c>
      <c r="H78" s="67">
        <v>77774.35081127734</v>
      </c>
      <c r="I78" s="67">
        <v>2637932.0185907655</v>
      </c>
      <c r="J78" s="67">
        <v>51847.93488009021</v>
      </c>
      <c r="K78" s="67">
        <v>30737.796338602955</v>
      </c>
      <c r="L78" s="67">
        <v>2508.850026170237</v>
      </c>
      <c r="M78" s="67">
        <v>85094.58124486341</v>
      </c>
    </row>
    <row r="79" spans="1:13" ht="21">
      <c r="A79" s="66" t="s">
        <v>80</v>
      </c>
      <c r="B79" s="66" t="s">
        <v>85</v>
      </c>
      <c r="C79" s="66" t="s">
        <v>335</v>
      </c>
      <c r="D79" s="67">
        <v>120</v>
      </c>
      <c r="E79" s="67">
        <v>91.31</v>
      </c>
      <c r="F79" s="67">
        <v>5247096.279976123</v>
      </c>
      <c r="G79" s="67">
        <v>3110715.541437716</v>
      </c>
      <c r="H79" s="67">
        <v>253899.74875143848</v>
      </c>
      <c r="I79" s="67">
        <v>8611711.570165278</v>
      </c>
      <c r="J79" s="67">
        <v>43725.80233313436</v>
      </c>
      <c r="K79" s="67">
        <v>25922.62951198097</v>
      </c>
      <c r="L79" s="67">
        <v>2115.8312395953208</v>
      </c>
      <c r="M79" s="67">
        <v>71764.26308471065</v>
      </c>
    </row>
    <row r="80" spans="1:13" ht="21">
      <c r="A80" s="66" t="s">
        <v>80</v>
      </c>
      <c r="B80" s="66" t="s">
        <v>85</v>
      </c>
      <c r="C80" s="66" t="s">
        <v>152</v>
      </c>
      <c r="D80" s="67">
        <v>129</v>
      </c>
      <c r="E80" s="67">
        <v>109.08</v>
      </c>
      <c r="F80" s="67">
        <v>6268242.933082854</v>
      </c>
      <c r="G80" s="67">
        <v>3716097.374439011</v>
      </c>
      <c r="H80" s="67">
        <v>303311.6262600691</v>
      </c>
      <c r="I80" s="67">
        <v>10287651.933781933</v>
      </c>
      <c r="J80" s="67">
        <v>48591.030489014374</v>
      </c>
      <c r="K80" s="67">
        <v>28806.956391000083</v>
      </c>
      <c r="L80" s="67">
        <v>2351.2529167447215</v>
      </c>
      <c r="M80" s="67">
        <v>79749.23979675918</v>
      </c>
    </row>
    <row r="81" spans="1:13" ht="21">
      <c r="A81" s="66" t="s">
        <v>80</v>
      </c>
      <c r="B81" s="66" t="s">
        <v>88</v>
      </c>
      <c r="C81" s="66" t="s">
        <v>336</v>
      </c>
      <c r="D81" s="67">
        <v>8</v>
      </c>
      <c r="E81" s="67">
        <v>2.11</v>
      </c>
      <c r="F81" s="67">
        <v>182106.73155985316</v>
      </c>
      <c r="G81" s="67">
        <v>58075.68771953949</v>
      </c>
      <c r="H81" s="67">
        <v>5764.606827338024</v>
      </c>
      <c r="I81" s="67">
        <v>245947.02610673066</v>
      </c>
      <c r="J81" s="67">
        <v>22763.341444981645</v>
      </c>
      <c r="K81" s="67">
        <v>7259.4609649424365</v>
      </c>
      <c r="L81" s="67">
        <v>720.575853417253</v>
      </c>
      <c r="M81" s="67">
        <v>30743.378263341332</v>
      </c>
    </row>
    <row r="82" spans="1:13" ht="21">
      <c r="A82" s="66" t="s">
        <v>80</v>
      </c>
      <c r="B82" s="66" t="s">
        <v>88</v>
      </c>
      <c r="C82" s="66" t="s">
        <v>337</v>
      </c>
      <c r="D82" s="67">
        <v>16</v>
      </c>
      <c r="E82" s="67">
        <v>12.75</v>
      </c>
      <c r="F82" s="67">
        <v>1100407.9750654635</v>
      </c>
      <c r="G82" s="67">
        <v>350931.2883526676</v>
      </c>
      <c r="H82" s="67">
        <v>34833.5246675639</v>
      </c>
      <c r="I82" s="67">
        <v>1486172.788085695</v>
      </c>
      <c r="J82" s="67">
        <v>68775.49844159147</v>
      </c>
      <c r="K82" s="67">
        <v>21933.205522041724</v>
      </c>
      <c r="L82" s="67">
        <v>2177.0952917227437</v>
      </c>
      <c r="M82" s="67">
        <v>92885.79925535593</v>
      </c>
    </row>
    <row r="83" spans="1:13" ht="21">
      <c r="A83" s="66" t="s">
        <v>80</v>
      </c>
      <c r="B83" s="66" t="s">
        <v>88</v>
      </c>
      <c r="C83" s="66" t="s">
        <v>338</v>
      </c>
      <c r="D83" s="67">
        <v>32</v>
      </c>
      <c r="E83" s="67">
        <v>27.47</v>
      </c>
      <c r="F83" s="67">
        <v>2370839.7705920218</v>
      </c>
      <c r="G83" s="67">
        <v>756084.9012586493</v>
      </c>
      <c r="H83" s="67">
        <v>75049.17040141021</v>
      </c>
      <c r="I83" s="67">
        <v>3201973.8422520813</v>
      </c>
      <c r="J83" s="67">
        <v>74088.74283100068</v>
      </c>
      <c r="K83" s="67">
        <v>23627.65316433279</v>
      </c>
      <c r="L83" s="67">
        <v>2345.286575044069</v>
      </c>
      <c r="M83" s="67">
        <v>100061.68257037754</v>
      </c>
    </row>
    <row r="84" spans="1:13" ht="21">
      <c r="A84" s="66" t="s">
        <v>80</v>
      </c>
      <c r="B84" s="66" t="s">
        <v>88</v>
      </c>
      <c r="C84" s="66" t="s">
        <v>339</v>
      </c>
      <c r="D84" s="67">
        <v>331</v>
      </c>
      <c r="E84" s="67">
        <v>255.10999999999999</v>
      </c>
      <c r="F84" s="67">
        <v>22017653.217172574</v>
      </c>
      <c r="G84" s="67">
        <v>7021653.4095411</v>
      </c>
      <c r="H84" s="67">
        <v>696971.0178778216</v>
      </c>
      <c r="I84" s="67">
        <v>29736277.644591495</v>
      </c>
      <c r="J84" s="67">
        <v>66518.58977997757</v>
      </c>
      <c r="K84" s="67">
        <v>21213.45440948973</v>
      </c>
      <c r="L84" s="67">
        <v>2105.6526219873763</v>
      </c>
      <c r="M84" s="67">
        <v>89837.69681145468</v>
      </c>
    </row>
    <row r="85" spans="1:13" ht="21">
      <c r="A85" s="66" t="s">
        <v>80</v>
      </c>
      <c r="B85" s="66" t="s">
        <v>88</v>
      </c>
      <c r="C85" s="66" t="s">
        <v>195</v>
      </c>
      <c r="D85" s="67">
        <v>32</v>
      </c>
      <c r="E85" s="67">
        <v>28.14</v>
      </c>
      <c r="F85" s="67">
        <v>2428665.130850364</v>
      </c>
      <c r="G85" s="67">
        <v>774525.9964112993</v>
      </c>
      <c r="H85" s="67">
        <v>76879.63797217631</v>
      </c>
      <c r="I85" s="67">
        <v>3280070.76523384</v>
      </c>
      <c r="J85" s="67">
        <v>75895.78533907387</v>
      </c>
      <c r="K85" s="67">
        <v>24203.937387853104</v>
      </c>
      <c r="L85" s="67">
        <v>2402.4886866305096</v>
      </c>
      <c r="M85" s="67">
        <v>102502.2114135575</v>
      </c>
    </row>
    <row r="86" spans="1:13" ht="21">
      <c r="A86" s="66" t="s">
        <v>80</v>
      </c>
      <c r="B86" s="66" t="s">
        <v>97</v>
      </c>
      <c r="C86" s="66" t="s">
        <v>203</v>
      </c>
      <c r="D86" s="67">
        <v>121</v>
      </c>
      <c r="E86" s="67">
        <v>89.67</v>
      </c>
      <c r="F86" s="67">
        <v>9196850.578138415</v>
      </c>
      <c r="G86" s="67">
        <v>3099238.593366623</v>
      </c>
      <c r="H86" s="67">
        <v>204396.5474086728</v>
      </c>
      <c r="I86" s="67">
        <v>12500485.71891371</v>
      </c>
      <c r="J86" s="67">
        <v>76007.02957139186</v>
      </c>
      <c r="K86" s="67">
        <v>25613.54209393903</v>
      </c>
      <c r="L86" s="67">
        <v>1689.227664534486</v>
      </c>
      <c r="M86" s="67">
        <v>103309.79932986537</v>
      </c>
    </row>
    <row r="87" spans="1:13" ht="21">
      <c r="A87" s="66" t="s">
        <v>80</v>
      </c>
      <c r="B87" s="66" t="s">
        <v>97</v>
      </c>
      <c r="C87" s="66" t="s">
        <v>204</v>
      </c>
      <c r="D87" s="67">
        <v>67</v>
      </c>
      <c r="E87" s="67">
        <v>45.75</v>
      </c>
      <c r="F87" s="67">
        <v>4692270.703131844</v>
      </c>
      <c r="G87" s="67">
        <v>1581244.1802890932</v>
      </c>
      <c r="H87" s="67">
        <v>104283.95275952695</v>
      </c>
      <c r="I87" s="67">
        <v>6377798.836180464</v>
      </c>
      <c r="J87" s="67">
        <v>70033.89109152007</v>
      </c>
      <c r="K87" s="67">
        <v>23600.6594072999</v>
      </c>
      <c r="L87" s="67">
        <v>1556.476906858611</v>
      </c>
      <c r="M87" s="67">
        <v>95191.02740567859</v>
      </c>
    </row>
    <row r="88" spans="1:13" ht="21">
      <c r="A88" s="66" t="s">
        <v>80</v>
      </c>
      <c r="B88" s="66" t="s">
        <v>97</v>
      </c>
      <c r="C88" s="66" t="s">
        <v>245</v>
      </c>
      <c r="D88" s="67">
        <v>66</v>
      </c>
      <c r="E88" s="67">
        <v>62.89</v>
      </c>
      <c r="F88" s="67">
        <v>6450205.56327785</v>
      </c>
      <c r="G88" s="67">
        <v>2173649.1037897505</v>
      </c>
      <c r="H88" s="67">
        <v>143353.39429610161</v>
      </c>
      <c r="I88" s="67">
        <v>8767208.061363703</v>
      </c>
      <c r="J88" s="67">
        <v>97730.38732239166</v>
      </c>
      <c r="K88" s="67">
        <v>32934.07733014773</v>
      </c>
      <c r="L88" s="67">
        <v>2172.0211256985094</v>
      </c>
      <c r="M88" s="67">
        <v>132836.4857782379</v>
      </c>
    </row>
    <row r="89" spans="1:13" ht="21">
      <c r="A89" s="66"/>
      <c r="B89" s="66"/>
      <c r="C89" s="110" t="s">
        <v>175</v>
      </c>
      <c r="D89" s="87">
        <f aca="true" t="shared" si="7" ref="D89:I89">SUM(D63:D88)</f>
        <v>2012</v>
      </c>
      <c r="E89" s="87">
        <f t="shared" si="7"/>
        <v>1547.0300000000002</v>
      </c>
      <c r="F89" s="87">
        <f t="shared" si="7"/>
        <v>115647777.55492358</v>
      </c>
      <c r="G89" s="87">
        <f t="shared" si="7"/>
        <v>51131645.95595686</v>
      </c>
      <c r="H89" s="87">
        <f t="shared" si="7"/>
        <v>4255276.738724891</v>
      </c>
      <c r="I89" s="87">
        <f t="shared" si="7"/>
        <v>171034700.24960533</v>
      </c>
      <c r="J89" s="87">
        <f>+F89/D89</f>
        <v>57479.014689325835</v>
      </c>
      <c r="K89" s="87">
        <f>+G89/D89</f>
        <v>25413.342920455696</v>
      </c>
      <c r="L89" s="87">
        <f>+H89/D89</f>
        <v>2114.948677298654</v>
      </c>
      <c r="M89" s="87">
        <f>SUM(J89:L89)</f>
        <v>85007.30628708018</v>
      </c>
    </row>
    <row r="90" spans="1:13" ht="21">
      <c r="A90" s="66"/>
      <c r="B90" s="66"/>
      <c r="C90" s="110" t="s">
        <v>173</v>
      </c>
      <c r="D90" s="87"/>
      <c r="E90" s="87"/>
      <c r="F90" s="87"/>
      <c r="G90" s="87"/>
      <c r="H90" s="87"/>
      <c r="I90" s="87"/>
      <c r="J90" s="87">
        <f>+J89*100/M89</f>
        <v>67.61655815232176</v>
      </c>
      <c r="K90" s="87">
        <f>+K89*100/M89</f>
        <v>29.89548078918263</v>
      </c>
      <c r="L90" s="87">
        <f>+L89*100/M89</f>
        <v>2.48796105849562</v>
      </c>
      <c r="M90" s="87">
        <f>SUM(J90:L90)</f>
        <v>100</v>
      </c>
    </row>
    <row r="91" spans="1:13" ht="21">
      <c r="A91" s="66" t="s">
        <v>99</v>
      </c>
      <c r="B91" s="66" t="s">
        <v>225</v>
      </c>
      <c r="C91" s="66" t="s">
        <v>241</v>
      </c>
      <c r="D91" s="67">
        <v>61</v>
      </c>
      <c r="E91" s="67">
        <v>45.86</v>
      </c>
      <c r="F91" s="67">
        <v>2503666.665266709</v>
      </c>
      <c r="G91" s="67">
        <v>932550.0919910042</v>
      </c>
      <c r="H91" s="67">
        <v>104534.69051514512</v>
      </c>
      <c r="I91" s="67">
        <v>3540751.447772858</v>
      </c>
      <c r="J91" s="67">
        <v>41043.71582404441</v>
      </c>
      <c r="K91" s="67">
        <v>15287.706426082035</v>
      </c>
      <c r="L91" s="67">
        <v>1713.6834510679528</v>
      </c>
      <c r="M91" s="67">
        <v>58045.1057011944</v>
      </c>
    </row>
    <row r="92" spans="1:13" ht="21">
      <c r="A92" s="66" t="s">
        <v>99</v>
      </c>
      <c r="B92" s="66" t="s">
        <v>225</v>
      </c>
      <c r="C92" s="66" t="s">
        <v>228</v>
      </c>
      <c r="D92" s="67">
        <v>55</v>
      </c>
      <c r="E92" s="67">
        <v>47.67</v>
      </c>
      <c r="F92" s="67">
        <v>2602481.245819102</v>
      </c>
      <c r="G92" s="67">
        <v>969355.9285916085</v>
      </c>
      <c r="H92" s="67">
        <v>108660.46002740882</v>
      </c>
      <c r="I92" s="67">
        <v>3680497.6344381194</v>
      </c>
      <c r="J92" s="67">
        <v>47317.84083307458</v>
      </c>
      <c r="K92" s="67">
        <v>17624.653247120154</v>
      </c>
      <c r="L92" s="67">
        <v>1975.6447277710693</v>
      </c>
      <c r="M92" s="67">
        <v>66918.1388079658</v>
      </c>
    </row>
    <row r="93" spans="1:13" ht="21">
      <c r="A93" s="66" t="s">
        <v>99</v>
      </c>
      <c r="B93" s="66" t="s">
        <v>225</v>
      </c>
      <c r="C93" s="66" t="s">
        <v>229</v>
      </c>
      <c r="D93" s="67">
        <v>217</v>
      </c>
      <c r="E93" s="67">
        <v>198.97</v>
      </c>
      <c r="F93" s="67">
        <v>10862506.68094455</v>
      </c>
      <c r="G93" s="67">
        <v>4045998.512940473</v>
      </c>
      <c r="H93" s="67">
        <v>453538.3203619368</v>
      </c>
      <c r="I93" s="67">
        <v>15362043.514246961</v>
      </c>
      <c r="J93" s="67">
        <v>50057.63447439885</v>
      </c>
      <c r="K93" s="67">
        <v>18645.154437513702</v>
      </c>
      <c r="L93" s="67">
        <v>2090.0383426817366</v>
      </c>
      <c r="M93" s="67">
        <v>70792.8272545943</v>
      </c>
    </row>
    <row r="94" spans="1:13" ht="21">
      <c r="A94" s="66" t="s">
        <v>99</v>
      </c>
      <c r="B94" s="66" t="s">
        <v>225</v>
      </c>
      <c r="C94" s="66" t="s">
        <v>313</v>
      </c>
      <c r="D94" s="67">
        <v>37</v>
      </c>
      <c r="E94" s="67">
        <v>16.17</v>
      </c>
      <c r="F94" s="67">
        <v>882779.9820619862</v>
      </c>
      <c r="G94" s="67">
        <v>328812.3634429686</v>
      </c>
      <c r="H94" s="67">
        <v>36858.39393000211</v>
      </c>
      <c r="I94" s="67">
        <v>1248450.739434957</v>
      </c>
      <c r="J94" s="67">
        <v>23858.918434107734</v>
      </c>
      <c r="K94" s="67">
        <v>8886.820633593745</v>
      </c>
      <c r="L94" s="67">
        <v>996.1728089189759</v>
      </c>
      <c r="M94" s="67">
        <v>33741.911876620456</v>
      </c>
    </row>
    <row r="95" spans="1:13" ht="21">
      <c r="A95" s="66" t="s">
        <v>99</v>
      </c>
      <c r="B95" s="66" t="s">
        <v>103</v>
      </c>
      <c r="C95" s="66" t="s">
        <v>340</v>
      </c>
      <c r="D95" s="67">
        <v>309</v>
      </c>
      <c r="E95" s="67">
        <v>257.97</v>
      </c>
      <c r="F95" s="67">
        <v>11370611.869903652</v>
      </c>
      <c r="G95" s="67">
        <v>8594725.887259584</v>
      </c>
      <c r="H95" s="67">
        <v>1864095.488721784</v>
      </c>
      <c r="I95" s="67">
        <v>21829433.24588502</v>
      </c>
      <c r="J95" s="67">
        <v>36798.09666635486</v>
      </c>
      <c r="K95" s="67">
        <v>27814.646884335223</v>
      </c>
      <c r="L95" s="67">
        <v>6032.671484536518</v>
      </c>
      <c r="M95" s="67">
        <v>70645.4150352266</v>
      </c>
    </row>
    <row r="96" spans="1:13" ht="21">
      <c r="A96" s="66" t="s">
        <v>99</v>
      </c>
      <c r="B96" s="66" t="s">
        <v>103</v>
      </c>
      <c r="C96" s="66" t="s">
        <v>341</v>
      </c>
      <c r="D96" s="67">
        <v>192</v>
      </c>
      <c r="E96" s="67">
        <v>135.92</v>
      </c>
      <c r="F96" s="67">
        <v>5990981.76283019</v>
      </c>
      <c r="G96" s="67">
        <v>4528414.709448084</v>
      </c>
      <c r="H96" s="67">
        <v>982160.1691168153</v>
      </c>
      <c r="I96" s="67">
        <v>11501556.64139509</v>
      </c>
      <c r="J96" s="67">
        <v>31203.030014740576</v>
      </c>
      <c r="K96" s="67">
        <v>23585.493278375438</v>
      </c>
      <c r="L96" s="67">
        <v>5115.417547483413</v>
      </c>
      <c r="M96" s="67">
        <v>59903.940840599425</v>
      </c>
    </row>
    <row r="97" spans="1:13" ht="21">
      <c r="A97" s="66" t="s">
        <v>99</v>
      </c>
      <c r="B97" s="66" t="s">
        <v>103</v>
      </c>
      <c r="C97" s="66" t="s">
        <v>342</v>
      </c>
      <c r="D97" s="67">
        <v>179</v>
      </c>
      <c r="E97" s="67">
        <v>142.34</v>
      </c>
      <c r="F97" s="67">
        <v>6273957.799597185</v>
      </c>
      <c r="G97" s="67">
        <v>4742308.341251033</v>
      </c>
      <c r="H97" s="67">
        <v>1028551.1953508499</v>
      </c>
      <c r="I97" s="67">
        <v>12044817.33619907</v>
      </c>
      <c r="J97" s="67">
        <v>35050.04357316863</v>
      </c>
      <c r="K97" s="67">
        <v>26493.342688553257</v>
      </c>
      <c r="L97" s="67">
        <v>5746.0960634125695</v>
      </c>
      <c r="M97" s="67">
        <v>67289.48232513445</v>
      </c>
    </row>
    <row r="98" spans="1:13" ht="21">
      <c r="A98" s="66" t="s">
        <v>99</v>
      </c>
      <c r="B98" s="66" t="s">
        <v>103</v>
      </c>
      <c r="C98" s="66" t="s">
        <v>343</v>
      </c>
      <c r="D98" s="67">
        <v>270</v>
      </c>
      <c r="E98" s="67">
        <v>243.64</v>
      </c>
      <c r="F98" s="67">
        <v>10738984.672571715</v>
      </c>
      <c r="G98" s="67">
        <v>8117296.643686958</v>
      </c>
      <c r="H98" s="67">
        <v>1760546.6715981525</v>
      </c>
      <c r="I98" s="67">
        <v>20616827.987856824</v>
      </c>
      <c r="J98" s="67">
        <v>39774.017305821166</v>
      </c>
      <c r="K98" s="67">
        <v>30064.06164328503</v>
      </c>
      <c r="L98" s="67">
        <v>6520.543228141306</v>
      </c>
      <c r="M98" s="67">
        <v>76358.6221772475</v>
      </c>
    </row>
    <row r="99" spans="1:13" ht="21">
      <c r="A99" s="66" t="s">
        <v>99</v>
      </c>
      <c r="B99" s="66" t="s">
        <v>103</v>
      </c>
      <c r="C99" s="66" t="s">
        <v>344</v>
      </c>
      <c r="D99" s="67">
        <v>81</v>
      </c>
      <c r="E99" s="67">
        <v>74.83</v>
      </c>
      <c r="F99" s="67">
        <v>3298301.687114355</v>
      </c>
      <c r="G99" s="67">
        <v>2493093.530812244</v>
      </c>
      <c r="H99" s="67">
        <v>540722.8182387529</v>
      </c>
      <c r="I99" s="67">
        <v>6332118.036165352</v>
      </c>
      <c r="J99" s="67">
        <v>40719.77391499204</v>
      </c>
      <c r="K99" s="67">
        <v>30778.932479163504</v>
      </c>
      <c r="L99" s="67">
        <v>6675.590348626579</v>
      </c>
      <c r="M99" s="67">
        <v>78174.29674278211</v>
      </c>
    </row>
    <row r="100" spans="1:13" ht="21">
      <c r="A100" s="66" t="s">
        <v>99</v>
      </c>
      <c r="B100" s="66" t="s">
        <v>103</v>
      </c>
      <c r="C100" s="66" t="s">
        <v>345</v>
      </c>
      <c r="D100" s="67">
        <v>404</v>
      </c>
      <c r="E100" s="67">
        <v>321.09</v>
      </c>
      <c r="F100" s="67">
        <v>14152768.792136151</v>
      </c>
      <c r="G100" s="67">
        <v>10697680.099004455</v>
      </c>
      <c r="H100" s="67">
        <v>2320201.6531909816</v>
      </c>
      <c r="I100" s="67">
        <v>27170650.544331588</v>
      </c>
      <c r="J100" s="67">
        <v>35031.605921129085</v>
      </c>
      <c r="K100" s="67">
        <v>26479.406185654592</v>
      </c>
      <c r="L100" s="67">
        <v>5743.073398987578</v>
      </c>
      <c r="M100" s="67">
        <v>67254.08550577125</v>
      </c>
    </row>
    <row r="101" spans="1:13" ht="21">
      <c r="A101" s="66" t="s">
        <v>99</v>
      </c>
      <c r="B101" s="66" t="s">
        <v>103</v>
      </c>
      <c r="C101" s="66" t="s">
        <v>320</v>
      </c>
      <c r="D101" s="67">
        <v>297</v>
      </c>
      <c r="E101" s="67">
        <v>274.72</v>
      </c>
      <c r="F101" s="67">
        <v>12108906.046826884</v>
      </c>
      <c r="G101" s="67">
        <v>9152781.702321792</v>
      </c>
      <c r="H101" s="67">
        <v>1985131.2658900202</v>
      </c>
      <c r="I101" s="67">
        <v>23246819.015038695</v>
      </c>
      <c r="J101" s="67">
        <v>40770.72743039355</v>
      </c>
      <c r="K101" s="67">
        <v>30817.44680916428</v>
      </c>
      <c r="L101" s="67">
        <v>6683.943656195354</v>
      </c>
      <c r="M101" s="67">
        <v>78272.11789575318</v>
      </c>
    </row>
    <row r="102" spans="1:13" ht="21">
      <c r="A102" s="66" t="s">
        <v>99</v>
      </c>
      <c r="B102" s="66" t="s">
        <v>103</v>
      </c>
      <c r="C102" s="155" t="s">
        <v>250</v>
      </c>
      <c r="D102" s="67">
        <v>335</v>
      </c>
      <c r="E102" s="67">
        <v>271.83</v>
      </c>
      <c r="F102" s="67">
        <v>11981522.753017442</v>
      </c>
      <c r="G102" s="67">
        <v>9056496.251245385</v>
      </c>
      <c r="H102" s="67">
        <v>1964248.078068157</v>
      </c>
      <c r="I102" s="67">
        <v>23002267.082330983</v>
      </c>
      <c r="J102" s="67">
        <v>35765.7395612461</v>
      </c>
      <c r="K102" s="67">
        <v>27034.317167896672</v>
      </c>
      <c r="L102" s="67">
        <v>5863.427098710917</v>
      </c>
      <c r="M102" s="67">
        <v>68663.48382785369</v>
      </c>
    </row>
    <row r="103" spans="1:13" ht="21">
      <c r="A103" s="66" t="s">
        <v>99</v>
      </c>
      <c r="B103" s="66" t="s">
        <v>103</v>
      </c>
      <c r="C103" s="66" t="s">
        <v>346</v>
      </c>
      <c r="D103" s="67">
        <v>156</v>
      </c>
      <c r="E103" s="67">
        <v>129.47</v>
      </c>
      <c r="F103" s="67">
        <v>5706683.408134379</v>
      </c>
      <c r="G103" s="67">
        <v>4313521.574692787</v>
      </c>
      <c r="H103" s="67">
        <v>935552.3623863603</v>
      </c>
      <c r="I103" s="67">
        <v>10955757.345213527</v>
      </c>
      <c r="J103" s="67">
        <v>36581.3038982973</v>
      </c>
      <c r="K103" s="67">
        <v>27650.77932495376</v>
      </c>
      <c r="L103" s="67">
        <v>5997.130528117695</v>
      </c>
      <c r="M103" s="67">
        <v>70229.21375136875</v>
      </c>
    </row>
    <row r="104" spans="1:13" ht="21">
      <c r="A104" s="66" t="s">
        <v>99</v>
      </c>
      <c r="B104" s="66" t="s">
        <v>103</v>
      </c>
      <c r="C104" s="66" t="s">
        <v>347</v>
      </c>
      <c r="D104" s="67">
        <v>52</v>
      </c>
      <c r="E104" s="67">
        <v>38</v>
      </c>
      <c r="F104" s="67">
        <v>1674936.0431691234</v>
      </c>
      <c r="G104" s="67">
        <v>1266037.0729769513</v>
      </c>
      <c r="H104" s="67">
        <v>274588.62879958056</v>
      </c>
      <c r="I104" s="67">
        <v>3215561.744945655</v>
      </c>
      <c r="J104" s="67">
        <v>32210.30852248314</v>
      </c>
      <c r="K104" s="67">
        <v>24346.866788018295</v>
      </c>
      <c r="L104" s="67">
        <v>5280.550553838088</v>
      </c>
      <c r="M104" s="67">
        <v>61837.725864339525</v>
      </c>
    </row>
    <row r="105" spans="1:13" ht="21">
      <c r="A105" s="66" t="s">
        <v>99</v>
      </c>
      <c r="B105" s="66" t="s">
        <v>103</v>
      </c>
      <c r="C105" s="66" t="s">
        <v>348</v>
      </c>
      <c r="D105" s="67">
        <v>259</v>
      </c>
      <c r="E105" s="67">
        <v>220.67</v>
      </c>
      <c r="F105" s="67">
        <v>9726529.911740275</v>
      </c>
      <c r="G105" s="67">
        <v>7352010.549837469</v>
      </c>
      <c r="H105" s="67">
        <v>1594565.0715053533</v>
      </c>
      <c r="I105" s="67">
        <v>18673105.533083096</v>
      </c>
      <c r="J105" s="67">
        <v>37554.16954339875</v>
      </c>
      <c r="K105" s="67">
        <v>28386.141119063588</v>
      </c>
      <c r="L105" s="67">
        <v>6156.621897704067</v>
      </c>
      <c r="M105" s="67">
        <v>72096.9325601664</v>
      </c>
    </row>
    <row r="106" spans="1:16" s="154" customFormat="1" ht="21">
      <c r="A106" s="66" t="s">
        <v>115</v>
      </c>
      <c r="B106" s="66" t="s">
        <v>114</v>
      </c>
      <c r="C106" s="66" t="s">
        <v>229</v>
      </c>
      <c r="D106" s="67">
        <v>83</v>
      </c>
      <c r="E106" s="67">
        <v>62.97</v>
      </c>
      <c r="F106" s="67">
        <v>6526293.459302034</v>
      </c>
      <c r="G106" s="67">
        <v>4576821.693173852</v>
      </c>
      <c r="H106" s="67">
        <v>265432.5231050275</v>
      </c>
      <c r="I106" s="67">
        <v>11368547.675580913</v>
      </c>
      <c r="J106" s="67">
        <v>78630.04167833776</v>
      </c>
      <c r="K106" s="67">
        <v>55142.43003823918</v>
      </c>
      <c r="L106" s="67">
        <v>3197.9822060846686</v>
      </c>
      <c r="M106" s="67">
        <v>136970.45392266163</v>
      </c>
      <c r="N106" s="23"/>
      <c r="O106" s="23"/>
      <c r="P106" s="23"/>
    </row>
    <row r="107" spans="1:16" s="154" customFormat="1" ht="21">
      <c r="A107" s="66" t="s">
        <v>115</v>
      </c>
      <c r="B107" s="66" t="s">
        <v>114</v>
      </c>
      <c r="C107" s="66" t="s">
        <v>243</v>
      </c>
      <c r="D107" s="67">
        <v>135</v>
      </c>
      <c r="E107" s="67">
        <v>91.11</v>
      </c>
      <c r="F107" s="67">
        <v>9442759.998046821</v>
      </c>
      <c r="G107" s="67">
        <v>6622109.329284892</v>
      </c>
      <c r="H107" s="67">
        <v>384048.8673987463</v>
      </c>
      <c r="I107" s="67">
        <v>16448918.19473046</v>
      </c>
      <c r="J107" s="67">
        <v>69946.37035590237</v>
      </c>
      <c r="K107" s="67">
        <v>49052.66169840661</v>
      </c>
      <c r="L107" s="67">
        <v>2844.8064251758988</v>
      </c>
      <c r="M107" s="67">
        <v>121843.83847948487</v>
      </c>
      <c r="N107" s="23"/>
      <c r="O107" s="23"/>
      <c r="P107" s="23"/>
    </row>
    <row r="108" spans="1:13" ht="21">
      <c r="A108" s="66"/>
      <c r="B108" s="66"/>
      <c r="C108" s="110" t="s">
        <v>175</v>
      </c>
      <c r="D108" s="87">
        <f aca="true" t="shared" si="8" ref="D108:I108">SUM(D91:D107)</f>
        <v>3122</v>
      </c>
      <c r="E108" s="87">
        <f t="shared" si="8"/>
        <v>2573.2299999999996</v>
      </c>
      <c r="F108" s="87">
        <f t="shared" si="8"/>
        <v>125844672.77848256</v>
      </c>
      <c r="G108" s="87">
        <f t="shared" si="8"/>
        <v>87790014.28196155</v>
      </c>
      <c r="H108" s="87">
        <f t="shared" si="8"/>
        <v>16603436.658205073</v>
      </c>
      <c r="I108" s="87">
        <f t="shared" si="8"/>
        <v>230238123.71864915</v>
      </c>
      <c r="J108" s="87">
        <f>+F108/D108</f>
        <v>40308.991921358924</v>
      </c>
      <c r="K108" s="87">
        <f>+G108/D108</f>
        <v>28119.799577822403</v>
      </c>
      <c r="L108" s="87">
        <f>+H108/D108</f>
        <v>5318.205207624944</v>
      </c>
      <c r="M108" s="87">
        <f>SUM(J108:L108)</f>
        <v>73746.99670680627</v>
      </c>
    </row>
    <row r="109" spans="1:13" ht="21">
      <c r="A109" s="66"/>
      <c r="B109" s="66"/>
      <c r="C109" s="110" t="s">
        <v>173</v>
      </c>
      <c r="D109" s="87"/>
      <c r="E109" s="87"/>
      <c r="F109" s="87"/>
      <c r="G109" s="87"/>
      <c r="H109" s="87"/>
      <c r="I109" s="87"/>
      <c r="J109" s="87">
        <f>+J108*100/M108</f>
        <v>54.658486069085875</v>
      </c>
      <c r="K109" s="87">
        <f>+K108*100/M108</f>
        <v>38.130094557772225</v>
      </c>
      <c r="L109" s="87">
        <f>+L108*100/M108</f>
        <v>7.211419373141897</v>
      </c>
      <c r="M109" s="87">
        <f>SUM(J109:L109)</f>
        <v>100</v>
      </c>
    </row>
    <row r="110" spans="1:13" ht="21">
      <c r="A110" s="66" t="s">
        <v>122</v>
      </c>
      <c r="B110" s="66" t="s">
        <v>120</v>
      </c>
      <c r="C110" s="66" t="s">
        <v>349</v>
      </c>
      <c r="D110" s="67">
        <v>10</v>
      </c>
      <c r="E110" s="67">
        <v>3.36</v>
      </c>
      <c r="F110" s="67">
        <v>193967.96435045314</v>
      </c>
      <c r="G110" s="67">
        <v>92403.40416918429</v>
      </c>
      <c r="H110" s="67">
        <v>13913.152930513594</v>
      </c>
      <c r="I110" s="67">
        <v>300284.52145015105</v>
      </c>
      <c r="J110" s="67">
        <v>19396.796435045315</v>
      </c>
      <c r="K110" s="67">
        <v>9240.340416918429</v>
      </c>
      <c r="L110" s="67">
        <v>1391.3152930513593</v>
      </c>
      <c r="M110" s="67">
        <v>30028.452145015104</v>
      </c>
    </row>
    <row r="111" spans="1:13" ht="21">
      <c r="A111" s="66" t="s">
        <v>122</v>
      </c>
      <c r="B111" s="66" t="s">
        <v>120</v>
      </c>
      <c r="C111" s="66" t="s">
        <v>350</v>
      </c>
      <c r="D111" s="67">
        <v>118</v>
      </c>
      <c r="E111" s="67">
        <v>80.89</v>
      </c>
      <c r="F111" s="67">
        <v>4669663.284615522</v>
      </c>
      <c r="G111" s="67">
        <v>2224556.9533468205</v>
      </c>
      <c r="H111" s="67">
        <v>334950.8751634657</v>
      </c>
      <c r="I111" s="67">
        <v>7229171.113125809</v>
      </c>
      <c r="J111" s="67">
        <v>39573.41766623324</v>
      </c>
      <c r="K111" s="67">
        <v>18852.177570735766</v>
      </c>
      <c r="L111" s="67">
        <v>2838.566738673438</v>
      </c>
      <c r="M111" s="67">
        <v>61264.16197564244</v>
      </c>
    </row>
    <row r="112" spans="1:13" ht="21">
      <c r="A112" s="66" t="s">
        <v>122</v>
      </c>
      <c r="B112" s="66" t="s">
        <v>120</v>
      </c>
      <c r="C112" s="66" t="s">
        <v>351</v>
      </c>
      <c r="D112" s="67">
        <v>74</v>
      </c>
      <c r="E112" s="67">
        <v>59.72</v>
      </c>
      <c r="F112" s="67">
        <v>3447549.6520860307</v>
      </c>
      <c r="G112" s="67">
        <v>1642360.5050546683</v>
      </c>
      <c r="H112" s="67">
        <v>247289.7300625809</v>
      </c>
      <c r="I112" s="67">
        <v>5337199.88720328</v>
      </c>
      <c r="J112" s="67">
        <v>46588.508811973385</v>
      </c>
      <c r="K112" s="67">
        <v>22194.06087911714</v>
      </c>
      <c r="L112" s="67">
        <v>3341.753108953796</v>
      </c>
      <c r="M112" s="67">
        <v>72124.32280004432</v>
      </c>
    </row>
    <row r="113" spans="1:13" ht="21">
      <c r="A113" s="66"/>
      <c r="B113" s="66"/>
      <c r="C113" s="110" t="s">
        <v>175</v>
      </c>
      <c r="D113" s="87">
        <f aca="true" t="shared" si="9" ref="D113:I113">SUM(D110:D112)</f>
        <v>202</v>
      </c>
      <c r="E113" s="87">
        <f t="shared" si="9"/>
        <v>143.97</v>
      </c>
      <c r="F113" s="87">
        <f t="shared" si="9"/>
        <v>8311180.9010520065</v>
      </c>
      <c r="G113" s="87">
        <f t="shared" si="9"/>
        <v>3959320.862570673</v>
      </c>
      <c r="H113" s="87">
        <f t="shared" si="9"/>
        <v>596153.7581565601</v>
      </c>
      <c r="I113" s="87">
        <f t="shared" si="9"/>
        <v>12866655.52177924</v>
      </c>
      <c r="J113" s="87">
        <f>+F113/D113</f>
        <v>41144.459906198055</v>
      </c>
      <c r="K113" s="87">
        <f>+G113/D113</f>
        <v>19600.59832955779</v>
      </c>
      <c r="L113" s="87">
        <f>+H113/D113</f>
        <v>2951.2562284978226</v>
      </c>
      <c r="M113" s="87">
        <f>SUM(J113:L113)</f>
        <v>63696.314464253664</v>
      </c>
    </row>
    <row r="114" spans="1:13" ht="21">
      <c r="A114" s="66"/>
      <c r="B114" s="66"/>
      <c r="C114" s="110" t="s">
        <v>173</v>
      </c>
      <c r="D114" s="87"/>
      <c r="E114" s="87"/>
      <c r="F114" s="87"/>
      <c r="G114" s="87"/>
      <c r="H114" s="87"/>
      <c r="I114" s="87"/>
      <c r="J114" s="87">
        <f>+J113*100/M113</f>
        <v>64.59472616628126</v>
      </c>
      <c r="K114" s="87">
        <f>+K113*100/M113</f>
        <v>30.771950456501898</v>
      </c>
      <c r="L114" s="87">
        <f>+L113*100/M113</f>
        <v>4.63332337721685</v>
      </c>
      <c r="M114" s="87">
        <f>SUM(J114:L114)</f>
        <v>100.00000000000001</v>
      </c>
    </row>
    <row r="115" spans="1:13" ht="21">
      <c r="A115" s="66" t="s">
        <v>70</v>
      </c>
      <c r="B115" s="66" t="s">
        <v>72</v>
      </c>
      <c r="C115" s="66" t="s">
        <v>246</v>
      </c>
      <c r="D115" s="67">
        <v>188</v>
      </c>
      <c r="E115" s="67">
        <v>133.33</v>
      </c>
      <c r="F115" s="67">
        <v>9429989.361573402</v>
      </c>
      <c r="G115" s="67">
        <v>2623322.6427569576</v>
      </c>
      <c r="H115" s="67">
        <v>303916.4922596134</v>
      </c>
      <c r="I115" s="67">
        <v>12357228.496589974</v>
      </c>
      <c r="J115" s="67">
        <v>50159.51788070959</v>
      </c>
      <c r="K115" s="67">
        <v>13953.843844451902</v>
      </c>
      <c r="L115" s="67">
        <v>1616.5770864873055</v>
      </c>
      <c r="M115" s="67">
        <v>65729.9388116488</v>
      </c>
    </row>
    <row r="116" spans="1:13" ht="21">
      <c r="A116" s="66" t="s">
        <v>70</v>
      </c>
      <c r="B116" s="66" t="s">
        <v>72</v>
      </c>
      <c r="C116" s="66" t="s">
        <v>270</v>
      </c>
      <c r="D116" s="67">
        <v>115</v>
      </c>
      <c r="E116" s="67">
        <v>79.42</v>
      </c>
      <c r="F116" s="67">
        <v>5617113.591060973</v>
      </c>
      <c r="G116" s="67">
        <v>1562621.197688124</v>
      </c>
      <c r="H116" s="67">
        <v>181032.3844240493</v>
      </c>
      <c r="I116" s="67">
        <v>7360767.173173146</v>
      </c>
      <c r="J116" s="67">
        <v>48844.46600922585</v>
      </c>
      <c r="K116" s="67">
        <v>13588.010414679338</v>
      </c>
      <c r="L116" s="67">
        <v>1574.194647165646</v>
      </c>
      <c r="M116" s="67">
        <v>64006.671071070836</v>
      </c>
    </row>
    <row r="117" spans="1:13" ht="21">
      <c r="A117" s="66" t="s">
        <v>70</v>
      </c>
      <c r="B117" s="66" t="s">
        <v>72</v>
      </c>
      <c r="C117" s="66" t="s">
        <v>352</v>
      </c>
      <c r="D117" s="67">
        <v>18</v>
      </c>
      <c r="E117" s="67">
        <v>2.25</v>
      </c>
      <c r="F117" s="67">
        <v>159135.04885277248</v>
      </c>
      <c r="G117" s="67">
        <v>44269.67633843212</v>
      </c>
      <c r="H117" s="67">
        <v>5128.719024856597</v>
      </c>
      <c r="I117" s="67">
        <v>208533.4442160612</v>
      </c>
      <c r="J117" s="67">
        <v>8840.83604737625</v>
      </c>
      <c r="K117" s="67">
        <v>2459.4264632462286</v>
      </c>
      <c r="L117" s="67">
        <v>284.92883471425534</v>
      </c>
      <c r="M117" s="67">
        <v>11585.191345336734</v>
      </c>
    </row>
    <row r="118" spans="1:13" ht="21">
      <c r="A118" s="66" t="s">
        <v>70</v>
      </c>
      <c r="B118" s="66" t="s">
        <v>72</v>
      </c>
      <c r="C118" s="66" t="s">
        <v>353</v>
      </c>
      <c r="D118" s="67">
        <v>23</v>
      </c>
      <c r="E118" s="67">
        <v>16.39</v>
      </c>
      <c r="F118" s="67">
        <v>1159210.4225319738</v>
      </c>
      <c r="G118" s="67">
        <v>322479.9978608455</v>
      </c>
      <c r="H118" s="67">
        <v>37359.86880773316</v>
      </c>
      <c r="I118" s="67">
        <v>1519050.2892005523</v>
      </c>
      <c r="J118" s="67">
        <v>50400.45315356408</v>
      </c>
      <c r="K118" s="67">
        <v>14020.869472210676</v>
      </c>
      <c r="L118" s="67">
        <v>1624.3421220753548</v>
      </c>
      <c r="M118" s="67">
        <v>66045.66474785011</v>
      </c>
    </row>
    <row r="119" spans="1:13" ht="21">
      <c r="A119" s="66" t="s">
        <v>70</v>
      </c>
      <c r="B119" s="66" t="s">
        <v>75</v>
      </c>
      <c r="C119" s="66" t="s">
        <v>354</v>
      </c>
      <c r="D119" s="67">
        <v>523</v>
      </c>
      <c r="E119" s="67">
        <v>379.5</v>
      </c>
      <c r="F119" s="67">
        <v>19398298.738789022</v>
      </c>
      <c r="G119" s="67">
        <v>11596472.580387328</v>
      </c>
      <c r="H119" s="67">
        <v>1544048.5429270375</v>
      </c>
      <c r="I119" s="67">
        <v>32538819.862103388</v>
      </c>
      <c r="J119" s="67">
        <v>37090.43735906123</v>
      </c>
      <c r="K119" s="67">
        <v>22172.98772540598</v>
      </c>
      <c r="L119" s="67">
        <v>2952.2916690765533</v>
      </c>
      <c r="M119" s="67">
        <v>62215.71675354376</v>
      </c>
    </row>
    <row r="120" spans="1:13" ht="21">
      <c r="A120" s="66" t="s">
        <v>70</v>
      </c>
      <c r="B120" s="66" t="s">
        <v>75</v>
      </c>
      <c r="C120" s="66" t="s">
        <v>355</v>
      </c>
      <c r="D120" s="67">
        <v>451</v>
      </c>
      <c r="E120" s="67">
        <v>410.64</v>
      </c>
      <c r="F120" s="67">
        <v>20990032.659015346</v>
      </c>
      <c r="G120" s="67">
        <v>12548025.034019109</v>
      </c>
      <c r="H120" s="67">
        <v>1670745.9648684023</v>
      </c>
      <c r="I120" s="67">
        <v>35208803.65790286</v>
      </c>
      <c r="J120" s="67">
        <v>46541.09237032227</v>
      </c>
      <c r="K120" s="67">
        <v>27822.671915785162</v>
      </c>
      <c r="L120" s="67">
        <v>3704.5365074687415</v>
      </c>
      <c r="M120" s="67">
        <v>78068.30079357619</v>
      </c>
    </row>
    <row r="121" spans="1:13" ht="21">
      <c r="A121" s="66" t="s">
        <v>70</v>
      </c>
      <c r="B121" s="66" t="s">
        <v>75</v>
      </c>
      <c r="C121" s="66" t="s">
        <v>356</v>
      </c>
      <c r="D121" s="67">
        <v>298</v>
      </c>
      <c r="E121" s="67">
        <v>211.22</v>
      </c>
      <c r="F121" s="67">
        <v>10796597.258516515</v>
      </c>
      <c r="G121" s="67">
        <v>6454300.233015577</v>
      </c>
      <c r="H121" s="67">
        <v>859377.9531938047</v>
      </c>
      <c r="I121" s="67">
        <v>18110275.444725897</v>
      </c>
      <c r="J121" s="67">
        <v>36230.192142672866</v>
      </c>
      <c r="K121" s="67">
        <v>21658.72561414623</v>
      </c>
      <c r="L121" s="67">
        <v>2883.8186348785393</v>
      </c>
      <c r="M121" s="67">
        <v>60772.73639169763</v>
      </c>
    </row>
    <row r="122" spans="1:13" ht="21">
      <c r="A122" s="66" t="s">
        <v>70</v>
      </c>
      <c r="B122" s="66" t="s">
        <v>75</v>
      </c>
      <c r="C122" s="66" t="s">
        <v>357</v>
      </c>
      <c r="D122" s="67">
        <v>50</v>
      </c>
      <c r="E122" s="67">
        <v>26.39</v>
      </c>
      <c r="F122" s="67">
        <v>1348935.7146683591</v>
      </c>
      <c r="G122" s="67">
        <v>806405.5636269344</v>
      </c>
      <c r="H122" s="67">
        <v>107371.38616032813</v>
      </c>
      <c r="I122" s="67">
        <v>2262712.6644556215</v>
      </c>
      <c r="J122" s="67">
        <v>26978.714293367182</v>
      </c>
      <c r="K122" s="67">
        <v>16128.111272538688</v>
      </c>
      <c r="L122" s="67">
        <v>2147.4277232065624</v>
      </c>
      <c r="M122" s="67">
        <v>45254.253289112436</v>
      </c>
    </row>
    <row r="123" spans="1:13" ht="21">
      <c r="A123" s="66" t="s">
        <v>70</v>
      </c>
      <c r="B123" s="66" t="s">
        <v>88</v>
      </c>
      <c r="C123" s="66" t="s">
        <v>358</v>
      </c>
      <c r="D123" s="67">
        <v>128</v>
      </c>
      <c r="E123" s="67">
        <v>123.78</v>
      </c>
      <c r="F123" s="67">
        <v>10683019.541459063</v>
      </c>
      <c r="G123" s="67">
        <v>3406923.5193955447</v>
      </c>
      <c r="H123" s="67">
        <v>338172.0535961615</v>
      </c>
      <c r="I123" s="67">
        <v>14428115.11445077</v>
      </c>
      <c r="J123" s="67">
        <v>83461.09016764893</v>
      </c>
      <c r="K123" s="67">
        <v>26616.589995277693</v>
      </c>
      <c r="L123" s="67">
        <v>2641.9691687200116</v>
      </c>
      <c r="M123" s="67">
        <v>112719.64933164664</v>
      </c>
    </row>
    <row r="124" spans="1:13" ht="21">
      <c r="A124" s="66" t="s">
        <v>70</v>
      </c>
      <c r="B124" s="66" t="s">
        <v>88</v>
      </c>
      <c r="C124" s="66" t="s">
        <v>355</v>
      </c>
      <c r="D124" s="67">
        <v>29</v>
      </c>
      <c r="E124" s="67">
        <v>2.42</v>
      </c>
      <c r="F124" s="67">
        <v>208861.7489928174</v>
      </c>
      <c r="G124" s="67">
        <v>66608.1347304671</v>
      </c>
      <c r="H124" s="67">
        <v>6611.539583961147</v>
      </c>
      <c r="I124" s="67">
        <v>282081.4233072456</v>
      </c>
      <c r="J124" s="67">
        <v>7202.129275614393</v>
      </c>
      <c r="K124" s="67">
        <v>2296.8322320850725</v>
      </c>
      <c r="L124" s="67">
        <v>227.98412358486715</v>
      </c>
      <c r="M124" s="67">
        <v>9726.945631284332</v>
      </c>
    </row>
    <row r="125" spans="1:13" ht="21">
      <c r="A125" s="66" t="s">
        <v>70</v>
      </c>
      <c r="B125" s="66" t="s">
        <v>114</v>
      </c>
      <c r="C125" s="66" t="s">
        <v>246</v>
      </c>
      <c r="D125" s="67">
        <v>79</v>
      </c>
      <c r="E125" s="67">
        <v>59.33</v>
      </c>
      <c r="F125" s="67">
        <v>6149039.081155942</v>
      </c>
      <c r="G125" s="67">
        <v>4312257.123328643</v>
      </c>
      <c r="H125" s="67">
        <v>250089.11538544198</v>
      </c>
      <c r="I125" s="67">
        <v>10711385.319870027</v>
      </c>
      <c r="J125" s="67">
        <v>77835.93773615116</v>
      </c>
      <c r="K125" s="67">
        <v>54585.53320669168</v>
      </c>
      <c r="L125" s="67">
        <v>3165.6850048790125</v>
      </c>
      <c r="M125" s="67">
        <v>135587.15594772185</v>
      </c>
    </row>
    <row r="126" spans="1:13" ht="21">
      <c r="A126" s="66"/>
      <c r="B126" s="66"/>
      <c r="C126" s="110" t="s">
        <v>175</v>
      </c>
      <c r="D126" s="87">
        <f aca="true" t="shared" si="10" ref="D126:I126">SUM(D115:D125)</f>
        <v>1902</v>
      </c>
      <c r="E126" s="87">
        <f t="shared" si="10"/>
        <v>1444.67</v>
      </c>
      <c r="F126" s="87">
        <f t="shared" si="10"/>
        <v>85940233.1666162</v>
      </c>
      <c r="G126" s="87">
        <f t="shared" si="10"/>
        <v>43743685.70314796</v>
      </c>
      <c r="H126" s="87">
        <f t="shared" si="10"/>
        <v>5303854.020231389</v>
      </c>
      <c r="I126" s="87">
        <f t="shared" si="10"/>
        <v>134987772.88999555</v>
      </c>
      <c r="J126" s="87">
        <f>+F126/D126</f>
        <v>45184.13941462471</v>
      </c>
      <c r="K126" s="87">
        <f>+G126/D126</f>
        <v>22998.783229835943</v>
      </c>
      <c r="L126" s="87">
        <f>+H126/D126</f>
        <v>2788.5667824560405</v>
      </c>
      <c r="M126" s="87">
        <f>SUM(J126:L126)</f>
        <v>70971.4894269167</v>
      </c>
    </row>
    <row r="127" spans="1:13" ht="21">
      <c r="A127" s="66"/>
      <c r="B127" s="66"/>
      <c r="C127" s="110" t="s">
        <v>173</v>
      </c>
      <c r="D127" s="87"/>
      <c r="E127" s="87"/>
      <c r="F127" s="87"/>
      <c r="G127" s="87"/>
      <c r="H127" s="87"/>
      <c r="I127" s="87"/>
      <c r="J127" s="87">
        <f>+J126*100/M126</f>
        <v>63.66519820773008</v>
      </c>
      <c r="K127" s="87">
        <f>+K126*100/M126</f>
        <v>32.4056651699822</v>
      </c>
      <c r="L127" s="87">
        <f>+L126*100/M126</f>
        <v>3.929136622287719</v>
      </c>
      <c r="M127" s="87">
        <f>SUM(J127:L127)</f>
        <v>99.99999999999999</v>
      </c>
    </row>
    <row r="128" spans="1:13" ht="21">
      <c r="A128" s="66" t="s">
        <v>171</v>
      </c>
      <c r="B128" s="66" t="s">
        <v>120</v>
      </c>
      <c r="C128" s="66" t="s">
        <v>359</v>
      </c>
      <c r="D128" s="67">
        <v>383</v>
      </c>
      <c r="E128" s="67">
        <v>288.45</v>
      </c>
      <c r="F128" s="67">
        <v>16651803.368121492</v>
      </c>
      <c r="G128" s="67">
        <v>7932667.2418455975</v>
      </c>
      <c r="H128" s="67">
        <v>1194419.3341686446</v>
      </c>
      <c r="I128" s="67">
        <v>25778889.944135733</v>
      </c>
      <c r="J128" s="67">
        <v>43477.29338935115</v>
      </c>
      <c r="K128" s="67">
        <v>20711.92491343498</v>
      </c>
      <c r="L128" s="67">
        <v>3118.588339865913</v>
      </c>
      <c r="M128" s="67">
        <v>67307.80664265204</v>
      </c>
    </row>
    <row r="129" spans="1:13" ht="21">
      <c r="A129" s="66"/>
      <c r="B129" s="66"/>
      <c r="C129" s="110" t="s">
        <v>175</v>
      </c>
      <c r="D129" s="87">
        <f aca="true" t="shared" si="11" ref="D129:I129">SUM(D128)</f>
        <v>383</v>
      </c>
      <c r="E129" s="87">
        <f t="shared" si="11"/>
        <v>288.45</v>
      </c>
      <c r="F129" s="87">
        <f t="shared" si="11"/>
        <v>16651803.368121492</v>
      </c>
      <c r="G129" s="87">
        <f t="shared" si="11"/>
        <v>7932667.2418455975</v>
      </c>
      <c r="H129" s="87">
        <f t="shared" si="11"/>
        <v>1194419.3341686446</v>
      </c>
      <c r="I129" s="87">
        <f t="shared" si="11"/>
        <v>25778889.944135733</v>
      </c>
      <c r="J129" s="87">
        <f>+F129/D129</f>
        <v>43477.29338935115</v>
      </c>
      <c r="K129" s="87">
        <f>+G129/D129</f>
        <v>20711.92491343498</v>
      </c>
      <c r="L129" s="87">
        <f>+H129/D129</f>
        <v>3118.588339865913</v>
      </c>
      <c r="M129" s="87">
        <f>SUM(J129:L129)</f>
        <v>67307.80664265204</v>
      </c>
    </row>
    <row r="130" spans="1:13" ht="21">
      <c r="A130" s="66"/>
      <c r="B130" s="66"/>
      <c r="C130" s="110" t="s">
        <v>173</v>
      </c>
      <c r="D130" s="87"/>
      <c r="E130" s="87"/>
      <c r="F130" s="87"/>
      <c r="G130" s="87"/>
      <c r="H130" s="87"/>
      <c r="I130" s="87"/>
      <c r="J130" s="87">
        <f>+J129*100/M129</f>
        <v>64.59472616628126</v>
      </c>
      <c r="K130" s="87">
        <f>+K129*100/M129</f>
        <v>30.771950456501905</v>
      </c>
      <c r="L130" s="87">
        <f>+L129*100/M129</f>
        <v>4.6333233772168505</v>
      </c>
      <c r="M130" s="87">
        <f>SUM(J130:L130)</f>
        <v>100.00000000000001</v>
      </c>
    </row>
    <row r="131" spans="1:13" ht="21">
      <c r="A131" s="66" t="s">
        <v>182</v>
      </c>
      <c r="B131" s="66" t="s">
        <v>101</v>
      </c>
      <c r="C131" s="66" t="s">
        <v>360</v>
      </c>
      <c r="D131" s="67">
        <v>245</v>
      </c>
      <c r="E131" s="67">
        <v>258.56</v>
      </c>
      <c r="F131" s="67">
        <v>32040959.52</v>
      </c>
      <c r="G131" s="67">
        <v>19302172.94</v>
      </c>
      <c r="H131" s="67">
        <v>1844891.44</v>
      </c>
      <c r="I131" s="67">
        <v>53188023.9</v>
      </c>
      <c r="J131" s="67">
        <v>130779.42661224489</v>
      </c>
      <c r="K131" s="67">
        <v>78784.37934693877</v>
      </c>
      <c r="L131" s="67">
        <v>7530.169142857143</v>
      </c>
      <c r="M131" s="67">
        <v>217093.9751020408</v>
      </c>
    </row>
    <row r="132" spans="1:13" ht="21">
      <c r="A132" s="66"/>
      <c r="B132" s="66"/>
      <c r="C132" s="110" t="s">
        <v>175</v>
      </c>
      <c r="D132" s="87">
        <f aca="true" t="shared" si="12" ref="D132:I132">SUM(D131)</f>
        <v>245</v>
      </c>
      <c r="E132" s="87">
        <f t="shared" si="12"/>
        <v>258.56</v>
      </c>
      <c r="F132" s="87">
        <f t="shared" si="12"/>
        <v>32040959.52</v>
      </c>
      <c r="G132" s="87">
        <f t="shared" si="12"/>
        <v>19302172.94</v>
      </c>
      <c r="H132" s="87">
        <f t="shared" si="12"/>
        <v>1844891.44</v>
      </c>
      <c r="I132" s="87">
        <f t="shared" si="12"/>
        <v>53188023.9</v>
      </c>
      <c r="J132" s="87">
        <f>+F132/D132</f>
        <v>130779.42661224489</v>
      </c>
      <c r="K132" s="87">
        <f>+G132/D132</f>
        <v>78784.37934693877</v>
      </c>
      <c r="L132" s="87">
        <f>+H132/D132</f>
        <v>7530.169142857143</v>
      </c>
      <c r="M132" s="87">
        <f>SUM(J132:L132)</f>
        <v>217093.9751020408</v>
      </c>
    </row>
    <row r="133" spans="1:13" ht="21">
      <c r="A133" s="66"/>
      <c r="B133" s="66"/>
      <c r="C133" s="110" t="s">
        <v>173</v>
      </c>
      <c r="D133" s="87"/>
      <c r="E133" s="87"/>
      <c r="F133" s="87"/>
      <c r="G133" s="87"/>
      <c r="H133" s="87"/>
      <c r="I133" s="87"/>
      <c r="J133" s="87">
        <f>+J132*100/M132</f>
        <v>60.2409286350644</v>
      </c>
      <c r="K133" s="87">
        <f>+K132*100/M132</f>
        <v>36.29044947466078</v>
      </c>
      <c r="L133" s="87">
        <f>+L132*100/M132</f>
        <v>3.4686218902748145</v>
      </c>
      <c r="M133" s="87">
        <f>SUM(J133:L133)</f>
        <v>100</v>
      </c>
    </row>
    <row r="134" spans="1:13" ht="21">
      <c r="A134" s="66" t="s">
        <v>93</v>
      </c>
      <c r="B134" s="66" t="s">
        <v>88</v>
      </c>
      <c r="C134" s="66" t="s">
        <v>361</v>
      </c>
      <c r="D134" s="67">
        <v>146</v>
      </c>
      <c r="E134" s="67">
        <v>135.64</v>
      </c>
      <c r="F134" s="67">
        <v>11706614.724539563</v>
      </c>
      <c r="G134" s="67">
        <v>3733358.427620065</v>
      </c>
      <c r="H134" s="67">
        <v>370574.06163987186</v>
      </c>
      <c r="I134" s="67">
        <v>15810547.213799499</v>
      </c>
      <c r="J134" s="67">
        <v>80182.29263383262</v>
      </c>
      <c r="K134" s="67">
        <v>25570.948134384005</v>
      </c>
      <c r="L134" s="67">
        <v>2538.178504382684</v>
      </c>
      <c r="M134" s="67">
        <v>108291.4192725993</v>
      </c>
    </row>
    <row r="135" spans="1:13" ht="21">
      <c r="A135" s="66" t="s">
        <v>93</v>
      </c>
      <c r="B135" s="66" t="s">
        <v>103</v>
      </c>
      <c r="C135" s="66" t="s">
        <v>361</v>
      </c>
      <c r="D135" s="67">
        <v>283</v>
      </c>
      <c r="E135" s="67">
        <v>195.33</v>
      </c>
      <c r="F135" s="67">
        <v>8609612.034532234</v>
      </c>
      <c r="G135" s="67">
        <v>6507763.722752313</v>
      </c>
      <c r="H135" s="67">
        <v>1411457.8121953176</v>
      </c>
      <c r="I135" s="67">
        <v>16528833.569479866</v>
      </c>
      <c r="J135" s="67">
        <v>30422.657365838284</v>
      </c>
      <c r="K135" s="67">
        <v>22995.631529160117</v>
      </c>
      <c r="L135" s="67">
        <v>4987.483435319144</v>
      </c>
      <c r="M135" s="67">
        <v>58405.772330317544</v>
      </c>
    </row>
    <row r="136" spans="1:13" ht="21">
      <c r="A136" s="66" t="s">
        <v>93</v>
      </c>
      <c r="B136" s="66" t="s">
        <v>103</v>
      </c>
      <c r="C136" s="66" t="s">
        <v>362</v>
      </c>
      <c r="D136" s="67">
        <v>233</v>
      </c>
      <c r="E136" s="67">
        <v>153.97</v>
      </c>
      <c r="F136" s="67">
        <v>6786576.383335524</v>
      </c>
      <c r="G136" s="67">
        <v>5129782.319112137</v>
      </c>
      <c r="H136" s="67">
        <v>1112589.7677966163</v>
      </c>
      <c r="I136" s="67">
        <v>13028948.470244277</v>
      </c>
      <c r="J136" s="67">
        <v>29126.93726753444</v>
      </c>
      <c r="K136" s="67">
        <v>22016.23312923664</v>
      </c>
      <c r="L136" s="67">
        <v>4775.063381101358</v>
      </c>
      <c r="M136" s="67">
        <v>55918.23377787243</v>
      </c>
    </row>
    <row r="137" spans="1:13" ht="21">
      <c r="A137" s="66" t="s">
        <v>93</v>
      </c>
      <c r="B137" s="66" t="s">
        <v>52</v>
      </c>
      <c r="C137" s="66" t="s">
        <v>247</v>
      </c>
      <c r="D137" s="67">
        <v>11</v>
      </c>
      <c r="E137" s="67">
        <v>2.58</v>
      </c>
      <c r="F137" s="67">
        <v>213624.183447569</v>
      </c>
      <c r="G137" s="67">
        <v>144524.02535071422</v>
      </c>
      <c r="H137" s="67">
        <v>15205.025646018832</v>
      </c>
      <c r="I137" s="67">
        <v>373353.2344443021</v>
      </c>
      <c r="J137" s="67">
        <v>19420.380313415364</v>
      </c>
      <c r="K137" s="67">
        <v>13138.547759155837</v>
      </c>
      <c r="L137" s="67">
        <v>1382.2750587289847</v>
      </c>
      <c r="M137" s="67">
        <v>33941.203131300186</v>
      </c>
    </row>
    <row r="138" spans="1:13" ht="21">
      <c r="A138" s="66" t="s">
        <v>93</v>
      </c>
      <c r="B138" s="66" t="s">
        <v>52</v>
      </c>
      <c r="C138" s="66" t="s">
        <v>248</v>
      </c>
      <c r="D138" s="67">
        <v>11</v>
      </c>
      <c r="E138" s="67">
        <v>2.25</v>
      </c>
      <c r="F138" s="67">
        <v>186300.15998334505</v>
      </c>
      <c r="G138" s="67">
        <v>126038.39420120427</v>
      </c>
      <c r="H138" s="67">
        <v>13260.196784318749</v>
      </c>
      <c r="I138" s="67">
        <v>325598.7509688681</v>
      </c>
      <c r="J138" s="67">
        <v>16936.378180304095</v>
      </c>
      <c r="K138" s="67">
        <v>11458.035836473115</v>
      </c>
      <c r="L138" s="67">
        <v>1205.472434938068</v>
      </c>
      <c r="M138" s="67">
        <v>29599.886451715276</v>
      </c>
    </row>
    <row r="139" spans="1:13" ht="21">
      <c r="A139" s="66" t="s">
        <v>93</v>
      </c>
      <c r="B139" s="66" t="s">
        <v>52</v>
      </c>
      <c r="C139" s="66" t="s">
        <v>186</v>
      </c>
      <c r="D139" s="67">
        <v>46</v>
      </c>
      <c r="E139" s="67">
        <v>35.89</v>
      </c>
      <c r="F139" s="67">
        <v>2971694.551912113</v>
      </c>
      <c r="G139" s="67">
        <v>2010452.4301694317</v>
      </c>
      <c r="H139" s="67">
        <v>211514.87226186664</v>
      </c>
      <c r="I139" s="67">
        <v>5193661.8543434115</v>
      </c>
      <c r="J139" s="67">
        <v>64602.05547635029</v>
      </c>
      <c r="K139" s="67">
        <v>43705.48761237895</v>
      </c>
      <c r="L139" s="67">
        <v>4598.149396997101</v>
      </c>
      <c r="M139" s="67">
        <v>112905.69248572634</v>
      </c>
    </row>
    <row r="140" spans="1:16" s="154" customFormat="1" ht="21">
      <c r="A140" s="66" t="s">
        <v>93</v>
      </c>
      <c r="B140" s="66" t="s">
        <v>52</v>
      </c>
      <c r="C140" s="66" t="s">
        <v>187</v>
      </c>
      <c r="D140" s="67">
        <v>29</v>
      </c>
      <c r="E140" s="67">
        <v>23.25</v>
      </c>
      <c r="F140" s="67">
        <v>1925101.6531612321</v>
      </c>
      <c r="G140" s="67">
        <v>1302396.7400791107</v>
      </c>
      <c r="H140" s="67">
        <v>137022.0334379604</v>
      </c>
      <c r="I140" s="67">
        <v>3364520.426678303</v>
      </c>
      <c r="J140" s="67">
        <v>66382.81562624939</v>
      </c>
      <c r="K140" s="67">
        <v>44910.23241652106</v>
      </c>
      <c r="L140" s="67">
        <v>4724.897704757255</v>
      </c>
      <c r="M140" s="67">
        <v>116017.9457475277</v>
      </c>
      <c r="N140" s="23"/>
      <c r="O140" s="23"/>
      <c r="P140" s="23"/>
    </row>
    <row r="141" spans="1:16" s="154" customFormat="1" ht="21">
      <c r="A141" s="66"/>
      <c r="B141" s="66"/>
      <c r="C141" s="110" t="s">
        <v>175</v>
      </c>
      <c r="D141" s="87">
        <f aca="true" t="shared" si="13" ref="D141:I141">SUM(D134:D140)</f>
        <v>759</v>
      </c>
      <c r="E141" s="87">
        <f t="shared" si="13"/>
        <v>548.9100000000001</v>
      </c>
      <c r="F141" s="87">
        <f t="shared" si="13"/>
        <v>32399523.69091158</v>
      </c>
      <c r="G141" s="87">
        <f t="shared" si="13"/>
        <v>18954316.059284978</v>
      </c>
      <c r="H141" s="87">
        <f t="shared" si="13"/>
        <v>3271623.7697619703</v>
      </c>
      <c r="I141" s="87">
        <f t="shared" si="13"/>
        <v>54625463.51995853</v>
      </c>
      <c r="J141" s="87">
        <f>+F141/D141</f>
        <v>42687.11948736703</v>
      </c>
      <c r="K141" s="87">
        <f>+G141/D141</f>
        <v>24972.748431205506</v>
      </c>
      <c r="L141" s="87">
        <f>+H141/D141</f>
        <v>4310.4397493570095</v>
      </c>
      <c r="M141" s="87">
        <f>SUM(J141:L141)</f>
        <v>71970.30766792955</v>
      </c>
      <c r="N141" s="23"/>
      <c r="O141" s="23"/>
      <c r="P141" s="23"/>
    </row>
    <row r="142" spans="1:16" s="154" customFormat="1" ht="21">
      <c r="A142" s="66"/>
      <c r="B142" s="66"/>
      <c r="C142" s="110" t="s">
        <v>173</v>
      </c>
      <c r="D142" s="87"/>
      <c r="E142" s="87"/>
      <c r="F142" s="87"/>
      <c r="G142" s="87"/>
      <c r="H142" s="87"/>
      <c r="I142" s="87"/>
      <c r="J142" s="87">
        <f>+J141*100/M141</f>
        <v>59.312125889922655</v>
      </c>
      <c r="K142" s="87">
        <f>+K141*100/M141</f>
        <v>34.69868233220508</v>
      </c>
      <c r="L142" s="87">
        <f>+L141*100/M141</f>
        <v>5.989191777872266</v>
      </c>
      <c r="M142" s="87">
        <f>SUM(J142:L142)</f>
        <v>100</v>
      </c>
      <c r="N142" s="23"/>
      <c r="O142" s="23"/>
      <c r="P142" s="23"/>
    </row>
    <row r="143" spans="1:16" ht="21">
      <c r="A143" s="156" t="s">
        <v>126</v>
      </c>
      <c r="B143" s="156" t="s">
        <v>127</v>
      </c>
      <c r="C143" s="156" t="s">
        <v>363</v>
      </c>
      <c r="D143" s="157">
        <v>18</v>
      </c>
      <c r="E143" s="157">
        <v>11.44</v>
      </c>
      <c r="F143" s="157">
        <v>391457.5043221676</v>
      </c>
      <c r="G143" s="157">
        <v>282196.1122568159</v>
      </c>
      <c r="H143" s="157">
        <v>38245.9349327342</v>
      </c>
      <c r="I143" s="157">
        <v>711899.5515117177</v>
      </c>
      <c r="J143" s="157">
        <v>21747.639129009312</v>
      </c>
      <c r="K143" s="157">
        <v>15677.561792045328</v>
      </c>
      <c r="L143" s="157">
        <v>2124.774162929678</v>
      </c>
      <c r="M143" s="157">
        <v>39549.97508398432</v>
      </c>
      <c r="N143" s="154"/>
      <c r="O143" s="154"/>
      <c r="P143" s="154"/>
    </row>
    <row r="144" spans="1:13" s="116" customFormat="1" ht="21">
      <c r="A144" s="158"/>
      <c r="B144" s="158"/>
      <c r="C144" s="110" t="s">
        <v>175</v>
      </c>
      <c r="D144" s="87">
        <f aca="true" t="shared" si="14" ref="D144:I144">SUM(D143)</f>
        <v>18</v>
      </c>
      <c r="E144" s="87">
        <f t="shared" si="14"/>
        <v>11.44</v>
      </c>
      <c r="F144" s="87">
        <f t="shared" si="14"/>
        <v>391457.5043221676</v>
      </c>
      <c r="G144" s="87">
        <f t="shared" si="14"/>
        <v>282196.1122568159</v>
      </c>
      <c r="H144" s="87">
        <f t="shared" si="14"/>
        <v>38245.9349327342</v>
      </c>
      <c r="I144" s="87">
        <f t="shared" si="14"/>
        <v>711899.5515117177</v>
      </c>
      <c r="J144" s="87">
        <f>+F144/D144</f>
        <v>21747.639129009312</v>
      </c>
      <c r="K144" s="87">
        <f>+G144/D144</f>
        <v>15677.561792045328</v>
      </c>
      <c r="L144" s="87">
        <f>+H144/D144</f>
        <v>2124.774162929678</v>
      </c>
      <c r="M144" s="87">
        <f>SUM(J144:L144)</f>
        <v>39549.97508398432</v>
      </c>
    </row>
    <row r="145" spans="1:13" ht="21">
      <c r="A145" s="66"/>
      <c r="B145" s="66"/>
      <c r="C145" s="110" t="s">
        <v>173</v>
      </c>
      <c r="D145" s="87"/>
      <c r="E145" s="87"/>
      <c r="F145" s="87"/>
      <c r="G145" s="87"/>
      <c r="H145" s="87"/>
      <c r="I145" s="87"/>
      <c r="J145" s="87">
        <f>+J144*100/M144</f>
        <v>54.98774419662271</v>
      </c>
      <c r="K145" s="87">
        <f>+K144*100/M144</f>
        <v>39.63987779702528</v>
      </c>
      <c r="L145" s="87">
        <f>+L144*100/M144</f>
        <v>5.3723780063520215</v>
      </c>
      <c r="M145" s="87">
        <f>SUM(J145:L145)</f>
        <v>100</v>
      </c>
    </row>
    <row r="146" spans="1:16" ht="21">
      <c r="A146" s="156" t="s">
        <v>128</v>
      </c>
      <c r="B146" s="156" t="s">
        <v>129</v>
      </c>
      <c r="C146" s="156" t="s">
        <v>332</v>
      </c>
      <c r="D146" s="157">
        <v>1</v>
      </c>
      <c r="E146" s="157">
        <v>0.06</v>
      </c>
      <c r="F146" s="157">
        <v>3447.8784010356735</v>
      </c>
      <c r="G146" s="157">
        <v>2044.0579617376295</v>
      </c>
      <c r="H146" s="157">
        <v>166.83807825086308</v>
      </c>
      <c r="I146" s="157">
        <v>5658.774441024166</v>
      </c>
      <c r="J146" s="157">
        <v>3447.8784010356735</v>
      </c>
      <c r="K146" s="157">
        <v>2044.0579617376295</v>
      </c>
      <c r="L146" s="157">
        <v>166.83807825086308</v>
      </c>
      <c r="M146" s="157">
        <v>5658.774441024166</v>
      </c>
      <c r="N146" s="154"/>
      <c r="O146" s="154"/>
      <c r="P146" s="154"/>
    </row>
    <row r="147" spans="1:16" ht="21">
      <c r="A147" s="156" t="s">
        <v>128</v>
      </c>
      <c r="B147" s="156" t="s">
        <v>129</v>
      </c>
      <c r="C147" s="156" t="s">
        <v>364</v>
      </c>
      <c r="D147" s="157">
        <v>4</v>
      </c>
      <c r="E147" s="157">
        <v>3.2600000000000002</v>
      </c>
      <c r="F147" s="157">
        <v>187334.7264562716</v>
      </c>
      <c r="G147" s="157">
        <v>111060.48258774455</v>
      </c>
      <c r="H147" s="157">
        <v>9064.868918296896</v>
      </c>
      <c r="I147" s="157">
        <v>307460.077962313</v>
      </c>
      <c r="J147" s="157">
        <v>46833.6816140679</v>
      </c>
      <c r="K147" s="157">
        <v>27765.12064693614</v>
      </c>
      <c r="L147" s="157">
        <v>2266.217229574224</v>
      </c>
      <c r="M147" s="157">
        <v>76865.01949057826</v>
      </c>
      <c r="N147" s="154"/>
      <c r="O147" s="154"/>
      <c r="P147" s="154"/>
    </row>
    <row r="148" spans="1:16" ht="21">
      <c r="A148" s="156" t="s">
        <v>128</v>
      </c>
      <c r="B148" s="156" t="s">
        <v>129</v>
      </c>
      <c r="C148" s="156" t="s">
        <v>365</v>
      </c>
      <c r="D148" s="157">
        <v>8</v>
      </c>
      <c r="E148" s="157">
        <v>3.83</v>
      </c>
      <c r="F148" s="157">
        <v>220089.57126611052</v>
      </c>
      <c r="G148" s="157">
        <v>130479.03322425204</v>
      </c>
      <c r="H148" s="157">
        <v>10649.830661680095</v>
      </c>
      <c r="I148" s="157">
        <v>361218.43515204266</v>
      </c>
      <c r="J148" s="157">
        <v>27511.196408263815</v>
      </c>
      <c r="K148" s="157">
        <v>16309.879153031505</v>
      </c>
      <c r="L148" s="157">
        <v>1331.2288327100118</v>
      </c>
      <c r="M148" s="157">
        <v>45152.30439400533</v>
      </c>
      <c r="N148" s="154"/>
      <c r="O148" s="154"/>
      <c r="P148" s="154"/>
    </row>
    <row r="149" spans="1:16" ht="21">
      <c r="A149" s="156" t="s">
        <v>128</v>
      </c>
      <c r="B149" s="156" t="s">
        <v>97</v>
      </c>
      <c r="C149" s="156" t="s">
        <v>202</v>
      </c>
      <c r="D149" s="157">
        <v>3</v>
      </c>
      <c r="E149" s="157">
        <v>1.06</v>
      </c>
      <c r="F149" s="157">
        <v>108717.09170097824</v>
      </c>
      <c r="G149" s="157">
        <v>36636.4771826544</v>
      </c>
      <c r="H149" s="157">
        <v>2416.1965010950507</v>
      </c>
      <c r="I149" s="157">
        <v>147769.7653847277</v>
      </c>
      <c r="J149" s="157">
        <v>36239.03056699275</v>
      </c>
      <c r="K149" s="157">
        <v>12212.1590608848</v>
      </c>
      <c r="L149" s="157">
        <v>805.3988336983502</v>
      </c>
      <c r="M149" s="157">
        <v>49256.5884615759</v>
      </c>
      <c r="N149" s="154"/>
      <c r="O149" s="154"/>
      <c r="P149" s="154"/>
    </row>
    <row r="150" spans="1:13" s="116" customFormat="1" ht="21">
      <c r="A150" s="158"/>
      <c r="B150" s="158"/>
      <c r="C150" s="110" t="s">
        <v>175</v>
      </c>
      <c r="D150" s="87">
        <f aca="true" t="shared" si="15" ref="D150:I150">SUM(D146:D149)</f>
        <v>16</v>
      </c>
      <c r="E150" s="87">
        <f t="shared" si="15"/>
        <v>8.21</v>
      </c>
      <c r="F150" s="87">
        <f t="shared" si="15"/>
        <v>519589.267824396</v>
      </c>
      <c r="G150" s="87">
        <f t="shared" si="15"/>
        <v>280220.0509563886</v>
      </c>
      <c r="H150" s="87">
        <f t="shared" si="15"/>
        <v>22297.734159322907</v>
      </c>
      <c r="I150" s="87">
        <f t="shared" si="15"/>
        <v>822107.0529401075</v>
      </c>
      <c r="J150" s="87">
        <f>+F150/D150</f>
        <v>32474.32923902475</v>
      </c>
      <c r="K150" s="87">
        <f>+G150/D150</f>
        <v>17513.753184774287</v>
      </c>
      <c r="L150" s="87">
        <f>+H150/D150</f>
        <v>1393.6083849576817</v>
      </c>
      <c r="M150" s="87">
        <f>SUM(J150:L150)</f>
        <v>51381.69080875672</v>
      </c>
    </row>
    <row r="151" spans="1:13" ht="21">
      <c r="A151" s="66"/>
      <c r="B151" s="66"/>
      <c r="C151" s="110" t="s">
        <v>173</v>
      </c>
      <c r="D151" s="87"/>
      <c r="E151" s="87"/>
      <c r="F151" s="87"/>
      <c r="G151" s="87"/>
      <c r="H151" s="87"/>
      <c r="I151" s="87"/>
      <c r="J151" s="87">
        <f>+J150*100/M150</f>
        <v>63.20214210134618</v>
      </c>
      <c r="K151" s="87">
        <f>+K150*100/M150</f>
        <v>34.08559140251085</v>
      </c>
      <c r="L151" s="87">
        <f>+L150*100/M150</f>
        <v>2.7122664961429725</v>
      </c>
      <c r="M151" s="87">
        <f>SUM(J151:L151)</f>
        <v>100</v>
      </c>
    </row>
    <row r="152" spans="1:16" ht="21">
      <c r="A152" s="156" t="s">
        <v>132</v>
      </c>
      <c r="B152" s="156" t="s">
        <v>103</v>
      </c>
      <c r="C152" s="156" t="s">
        <v>250</v>
      </c>
      <c r="D152" s="157">
        <v>25</v>
      </c>
      <c r="E152" s="157">
        <v>19.77</v>
      </c>
      <c r="F152" s="157">
        <v>871407.5250908834</v>
      </c>
      <c r="G152" s="157">
        <v>658672.4655987981</v>
      </c>
      <c r="H152" s="157">
        <v>142858.35714125546</v>
      </c>
      <c r="I152" s="157">
        <v>1672938.3478309368</v>
      </c>
      <c r="J152" s="157">
        <v>34856.30100363534</v>
      </c>
      <c r="K152" s="157">
        <v>26346.898623951925</v>
      </c>
      <c r="L152" s="157">
        <v>5714.334285650219</v>
      </c>
      <c r="M152" s="157">
        <v>66917.53391323748</v>
      </c>
      <c r="N152" s="154"/>
      <c r="O152" s="154"/>
      <c r="P152" s="154"/>
    </row>
    <row r="153" spans="1:13" ht="21">
      <c r="A153" s="66"/>
      <c r="B153" s="66"/>
      <c r="C153" s="110" t="s">
        <v>175</v>
      </c>
      <c r="D153" s="87">
        <f aca="true" t="shared" si="16" ref="D153:I153">SUM(D152)</f>
        <v>25</v>
      </c>
      <c r="E153" s="87">
        <f t="shared" si="16"/>
        <v>19.77</v>
      </c>
      <c r="F153" s="87">
        <f t="shared" si="16"/>
        <v>871407.5250908834</v>
      </c>
      <c r="G153" s="87">
        <f t="shared" si="16"/>
        <v>658672.4655987981</v>
      </c>
      <c r="H153" s="87">
        <f t="shared" si="16"/>
        <v>142858.35714125546</v>
      </c>
      <c r="I153" s="87">
        <f t="shared" si="16"/>
        <v>1672938.3478309368</v>
      </c>
      <c r="J153" s="87">
        <f>+F153/D153</f>
        <v>34856.30100363534</v>
      </c>
      <c r="K153" s="87">
        <f>+G153/D153</f>
        <v>26346.898623951925</v>
      </c>
      <c r="L153" s="87">
        <f>+H153/D153</f>
        <v>5714.334285650219</v>
      </c>
      <c r="M153" s="87">
        <f>SUM(J153:L153)</f>
        <v>66917.53391323748</v>
      </c>
    </row>
    <row r="154" spans="1:13" ht="21">
      <c r="A154" s="66"/>
      <c r="B154" s="66"/>
      <c r="C154" s="110" t="s">
        <v>173</v>
      </c>
      <c r="D154" s="87"/>
      <c r="E154" s="87"/>
      <c r="F154" s="87"/>
      <c r="G154" s="87"/>
      <c r="H154" s="87"/>
      <c r="I154" s="87"/>
      <c r="J154" s="87">
        <f>+J153*100/M153</f>
        <v>52.08844224419355</v>
      </c>
      <c r="K154" s="87">
        <f>+K153*100/M153</f>
        <v>39.37219004231721</v>
      </c>
      <c r="L154" s="87">
        <f>+L153*100/M153</f>
        <v>8.539367713489247</v>
      </c>
      <c r="M154" s="87">
        <f>SUM(J154:L154)</f>
        <v>100</v>
      </c>
    </row>
    <row r="155" spans="1:13" ht="21">
      <c r="A155" s="66"/>
      <c r="B155" s="66"/>
      <c r="C155" s="161" t="s">
        <v>4</v>
      </c>
      <c r="D155" s="67">
        <f aca="true" t="shared" si="17" ref="D155:I155">+D10+D13+D21+D27+D32+D54+D61+D89+D108+D113+D126+D129+D132+D141+D144+D150+D153</f>
        <v>17773</v>
      </c>
      <c r="E155" s="67">
        <f t="shared" si="17"/>
        <v>13587.22</v>
      </c>
      <c r="F155" s="67">
        <f t="shared" si="17"/>
        <v>735123766.8100001</v>
      </c>
      <c r="G155" s="67">
        <f t="shared" si="17"/>
        <v>424045200.05999994</v>
      </c>
      <c r="H155" s="67">
        <f t="shared" si="17"/>
        <v>56245868.17999999</v>
      </c>
      <c r="I155" s="67">
        <f t="shared" si="17"/>
        <v>1215414835.0500002</v>
      </c>
      <c r="J155" s="87">
        <f>+F155/D155</f>
        <v>41361.82787430372</v>
      </c>
      <c r="K155" s="87">
        <f>+G155/D155</f>
        <v>23858.954597423053</v>
      </c>
      <c r="L155" s="87">
        <f>+H155/D155</f>
        <v>3164.6805930343776</v>
      </c>
      <c r="M155" s="87">
        <f>SUM(J155:L155)</f>
        <v>68385.46306476116</v>
      </c>
    </row>
    <row r="156" spans="10:13" ht="21">
      <c r="J156" s="87">
        <f>+J155*100/M155</f>
        <v>60.483363014057524</v>
      </c>
      <c r="K156" s="87">
        <f>+K155*100/M155</f>
        <v>34.888927453527046</v>
      </c>
      <c r="L156" s="87">
        <f>+L155*100/M155</f>
        <v>4.627709532415419</v>
      </c>
      <c r="M156" s="87">
        <f>SUM(J156:L156)</f>
        <v>100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.8515625" style="23" customWidth="1"/>
    <col min="2" max="2" width="28.140625" style="107" bestFit="1" customWidth="1"/>
    <col min="3" max="3" width="36.28125" style="107" customWidth="1"/>
    <col min="4" max="4" width="47.00390625" style="107" customWidth="1"/>
    <col min="5" max="5" width="14.140625" style="23" bestFit="1" customWidth="1"/>
    <col min="6" max="6" width="9.421875" style="23" bestFit="1" customWidth="1"/>
    <col min="7" max="9" width="13.28125" style="58" customWidth="1"/>
    <col min="10" max="10" width="13.421875" style="58" bestFit="1" customWidth="1"/>
    <col min="11" max="11" width="12.8515625" style="58" customWidth="1"/>
    <col min="12" max="12" width="14.28125" style="58" customWidth="1"/>
    <col min="13" max="13" width="13.8515625" style="58" customWidth="1"/>
    <col min="14" max="14" width="17.00390625" style="58" customWidth="1"/>
    <col min="15" max="16384" width="9.00390625" style="23" customWidth="1"/>
  </cols>
  <sheetData>
    <row r="1" spans="1:14" ht="21">
      <c r="A1" s="206" t="s">
        <v>391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21">
      <c r="A2" s="206" t="s">
        <v>252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ht="21">
      <c r="A3" s="23" t="s">
        <v>392</v>
      </c>
    </row>
    <row r="4" spans="1:14" s="143" customFormat="1" ht="63">
      <c r="A4" s="148" t="s">
        <v>370</v>
      </c>
      <c r="B4" s="108" t="s">
        <v>46</v>
      </c>
      <c r="C4" s="108" t="s">
        <v>48</v>
      </c>
      <c r="D4" s="108" t="s">
        <v>47</v>
      </c>
      <c r="E4" s="148" t="s">
        <v>367</v>
      </c>
      <c r="F4" s="148" t="s">
        <v>309</v>
      </c>
      <c r="G4" s="64" t="s">
        <v>237</v>
      </c>
      <c r="H4" s="64" t="s">
        <v>238</v>
      </c>
      <c r="I4" s="64" t="s">
        <v>239</v>
      </c>
      <c r="J4" s="65" t="s">
        <v>49</v>
      </c>
      <c r="K4" s="64" t="s">
        <v>177</v>
      </c>
      <c r="L4" s="64" t="s">
        <v>178</v>
      </c>
      <c r="M4" s="64" t="s">
        <v>174</v>
      </c>
      <c r="N4" s="64" t="s">
        <v>366</v>
      </c>
    </row>
    <row r="5" spans="1:14" ht="21">
      <c r="A5" s="149">
        <v>1</v>
      </c>
      <c r="B5" s="109" t="s">
        <v>57</v>
      </c>
      <c r="C5" s="109" t="s">
        <v>58</v>
      </c>
      <c r="D5" s="109" t="s">
        <v>51</v>
      </c>
      <c r="E5" s="66">
        <v>866</v>
      </c>
      <c r="F5" s="66">
        <v>647.03</v>
      </c>
      <c r="G5" s="67">
        <v>22140275.26412344</v>
      </c>
      <c r="H5" s="67">
        <v>15960607.56237129</v>
      </c>
      <c r="I5" s="67">
        <v>2163135.251706906</v>
      </c>
      <c r="J5" s="67">
        <v>40264018.07820164</v>
      </c>
      <c r="K5" s="67">
        <v>25566.137718387345</v>
      </c>
      <c r="L5" s="67">
        <v>18430.262774100796</v>
      </c>
      <c r="M5" s="67">
        <v>2497.8467109779517</v>
      </c>
      <c r="N5" s="67">
        <v>46494.2472034661</v>
      </c>
    </row>
    <row r="6" spans="1:14" ht="21">
      <c r="A6" s="149">
        <v>2</v>
      </c>
      <c r="B6" s="109" t="s">
        <v>251</v>
      </c>
      <c r="C6" s="109" t="s">
        <v>58</v>
      </c>
      <c r="D6" s="109" t="s">
        <v>53</v>
      </c>
      <c r="E6" s="66">
        <v>860</v>
      </c>
      <c r="F6" s="66">
        <v>617.75</v>
      </c>
      <c r="G6" s="67">
        <v>21138363.050263904</v>
      </c>
      <c r="H6" s="67">
        <v>15238343.386944754</v>
      </c>
      <c r="I6" s="67">
        <v>2065247.054606342</v>
      </c>
      <c r="J6" s="67">
        <v>38441953.491815</v>
      </c>
      <c r="K6" s="67">
        <v>24579.491918911517</v>
      </c>
      <c r="L6" s="67">
        <v>17719.003938307855</v>
      </c>
      <c r="M6" s="67">
        <v>2401.4500634957467</v>
      </c>
      <c r="N6" s="67">
        <v>44699.945920715116</v>
      </c>
    </row>
    <row r="7" spans="1:14" ht="21">
      <c r="A7" s="149">
        <v>3</v>
      </c>
      <c r="B7" s="109" t="s">
        <v>57</v>
      </c>
      <c r="C7" s="109" t="s">
        <v>58</v>
      </c>
      <c r="D7" s="109" t="s">
        <v>59</v>
      </c>
      <c r="E7" s="66">
        <v>819</v>
      </c>
      <c r="F7" s="66">
        <v>617.53</v>
      </c>
      <c r="G7" s="67">
        <v>21130835.02133463</v>
      </c>
      <c r="H7" s="67">
        <v>15232916.538632123</v>
      </c>
      <c r="I7" s="67">
        <v>2064511.5558576353</v>
      </c>
      <c r="J7" s="67">
        <v>38428263.11582439</v>
      </c>
      <c r="K7" s="67">
        <v>25800.775361824944</v>
      </c>
      <c r="L7" s="67">
        <v>18599.409693079517</v>
      </c>
      <c r="M7" s="67">
        <v>2520.7711304733034</v>
      </c>
      <c r="N7" s="67">
        <v>46920.95618537776</v>
      </c>
    </row>
    <row r="8" spans="1:14" ht="21">
      <c r="A8" s="149">
        <v>4</v>
      </c>
      <c r="B8" s="109" t="s">
        <v>70</v>
      </c>
      <c r="C8" s="109" t="s">
        <v>75</v>
      </c>
      <c r="D8" s="109" t="s">
        <v>354</v>
      </c>
      <c r="E8" s="66">
        <v>523</v>
      </c>
      <c r="F8" s="66">
        <v>379.5</v>
      </c>
      <c r="G8" s="67">
        <v>19398298.738789022</v>
      </c>
      <c r="H8" s="67">
        <v>11596472.580387328</v>
      </c>
      <c r="I8" s="67">
        <v>1544048.5429270375</v>
      </c>
      <c r="J8" s="67">
        <v>32538819.862103388</v>
      </c>
      <c r="K8" s="67">
        <v>37090.43735906123</v>
      </c>
      <c r="L8" s="67">
        <v>22172.98772540598</v>
      </c>
      <c r="M8" s="67">
        <v>2952.2916690765533</v>
      </c>
      <c r="N8" s="67">
        <v>62215.71675354376</v>
      </c>
    </row>
    <row r="9" spans="1:14" ht="21">
      <c r="A9" s="149">
        <v>5</v>
      </c>
      <c r="B9" s="109" t="s">
        <v>57</v>
      </c>
      <c r="C9" s="109" t="s">
        <v>58</v>
      </c>
      <c r="D9" s="109" t="s">
        <v>189</v>
      </c>
      <c r="E9" s="66">
        <v>519</v>
      </c>
      <c r="F9" s="66">
        <v>367.97</v>
      </c>
      <c r="G9" s="67">
        <v>12591312.750474479</v>
      </c>
      <c r="H9" s="67">
        <v>9076897.152722076</v>
      </c>
      <c r="I9" s="67">
        <v>1230188.5207341088</v>
      </c>
      <c r="J9" s="67">
        <v>22898398.423930664</v>
      </c>
      <c r="K9" s="67">
        <v>24260.718209006704</v>
      </c>
      <c r="L9" s="67">
        <v>17489.20453318319</v>
      </c>
      <c r="M9" s="67">
        <v>2370.3054349404792</v>
      </c>
      <c r="N9" s="67">
        <v>44120.228177130375</v>
      </c>
    </row>
    <row r="10" spans="1:14" ht="21">
      <c r="A10" s="149">
        <v>6</v>
      </c>
      <c r="B10" s="109" t="s">
        <v>62</v>
      </c>
      <c r="C10" s="109" t="s">
        <v>64</v>
      </c>
      <c r="D10" s="109" t="s">
        <v>169</v>
      </c>
      <c r="E10" s="66">
        <v>512</v>
      </c>
      <c r="F10" s="66">
        <v>447.19</v>
      </c>
      <c r="G10" s="67">
        <v>22415836.985475138</v>
      </c>
      <c r="H10" s="67">
        <v>8637194.662990538</v>
      </c>
      <c r="I10" s="67">
        <v>1026684.3976902608</v>
      </c>
      <c r="J10" s="67">
        <v>32079716.046155937</v>
      </c>
      <c r="K10" s="67">
        <v>43780.93161225613</v>
      </c>
      <c r="L10" s="67">
        <v>16869.520826153395</v>
      </c>
      <c r="M10" s="67">
        <v>2005.2429642387906</v>
      </c>
      <c r="N10" s="67">
        <v>62655.695402648314</v>
      </c>
    </row>
    <row r="11" spans="1:14" ht="21">
      <c r="A11" s="149">
        <v>7</v>
      </c>
      <c r="B11" s="109" t="s">
        <v>57</v>
      </c>
      <c r="C11" s="109" t="s">
        <v>58</v>
      </c>
      <c r="D11" s="109" t="s">
        <v>188</v>
      </c>
      <c r="E11" s="66">
        <v>502</v>
      </c>
      <c r="F11" s="66">
        <v>396.11</v>
      </c>
      <c r="G11" s="67">
        <v>13554216.087155055</v>
      </c>
      <c r="H11" s="67">
        <v>9771040.38689225</v>
      </c>
      <c r="I11" s="67">
        <v>1324265.4970459216</v>
      </c>
      <c r="J11" s="67">
        <v>24649521.971093226</v>
      </c>
      <c r="K11" s="67">
        <v>27000.43045250011</v>
      </c>
      <c r="L11" s="67">
        <v>19464.223878271416</v>
      </c>
      <c r="M11" s="67">
        <v>2637.97907778072</v>
      </c>
      <c r="N11" s="67">
        <v>49102.63340855225</v>
      </c>
    </row>
    <row r="12" spans="1:14" ht="21">
      <c r="A12" s="149">
        <v>8</v>
      </c>
      <c r="B12" s="109" t="s">
        <v>57</v>
      </c>
      <c r="C12" s="109" t="s">
        <v>58</v>
      </c>
      <c r="D12" s="109" t="s">
        <v>190</v>
      </c>
      <c r="E12" s="66">
        <v>453</v>
      </c>
      <c r="F12" s="66">
        <v>312.86</v>
      </c>
      <c r="G12" s="67">
        <v>10705541.50369173</v>
      </c>
      <c r="H12" s="67">
        <v>7717471.650407991</v>
      </c>
      <c r="I12" s="67">
        <v>1045946.0841831487</v>
      </c>
      <c r="J12" s="67">
        <v>19468959.23828287</v>
      </c>
      <c r="K12" s="67">
        <v>23632.54195075437</v>
      </c>
      <c r="L12" s="67">
        <v>17036.36125917879</v>
      </c>
      <c r="M12" s="67">
        <v>2308.9317531636834</v>
      </c>
      <c r="N12" s="67">
        <v>42977.834963096844</v>
      </c>
    </row>
    <row r="13" spans="1:14" ht="21">
      <c r="A13" s="149">
        <v>9</v>
      </c>
      <c r="B13" s="109" t="s">
        <v>70</v>
      </c>
      <c r="C13" s="109" t="s">
        <v>75</v>
      </c>
      <c r="D13" s="109" t="s">
        <v>355</v>
      </c>
      <c r="E13" s="66">
        <v>451</v>
      </c>
      <c r="F13" s="66">
        <v>410.64</v>
      </c>
      <c r="G13" s="67">
        <v>20990032.659015346</v>
      </c>
      <c r="H13" s="67">
        <v>12548025.034019109</v>
      </c>
      <c r="I13" s="67">
        <v>1670745.9648684023</v>
      </c>
      <c r="J13" s="67">
        <v>35208803.65790286</v>
      </c>
      <c r="K13" s="67">
        <v>46541.09237032227</v>
      </c>
      <c r="L13" s="67">
        <v>27822.671915785162</v>
      </c>
      <c r="M13" s="67">
        <v>3704.5365074687415</v>
      </c>
      <c r="N13" s="67">
        <v>78068.30079357619</v>
      </c>
    </row>
    <row r="14" spans="1:14" ht="21">
      <c r="A14" s="149">
        <v>10</v>
      </c>
      <c r="B14" s="109" t="s">
        <v>83</v>
      </c>
      <c r="C14" s="109" t="s">
        <v>75</v>
      </c>
      <c r="D14" s="109" t="s">
        <v>79</v>
      </c>
      <c r="E14" s="66">
        <v>450</v>
      </c>
      <c r="F14" s="66">
        <v>330.22</v>
      </c>
      <c r="G14" s="67">
        <v>16879331.25038975</v>
      </c>
      <c r="H14" s="67">
        <v>10090611.793137033</v>
      </c>
      <c r="I14" s="67">
        <v>1343546.0074976718</v>
      </c>
      <c r="J14" s="67">
        <v>28313489.051024456</v>
      </c>
      <c r="K14" s="67">
        <v>37509.625000866115</v>
      </c>
      <c r="L14" s="67">
        <v>22423.581762526737</v>
      </c>
      <c r="M14" s="67">
        <v>2985.6577944392707</v>
      </c>
      <c r="N14" s="67">
        <v>62918.86455783212</v>
      </c>
    </row>
    <row r="15" spans="1:14" ht="21">
      <c r="A15" s="149">
        <v>11</v>
      </c>
      <c r="B15" s="109" t="s">
        <v>99</v>
      </c>
      <c r="C15" s="109" t="s">
        <v>103</v>
      </c>
      <c r="D15" s="109" t="s">
        <v>345</v>
      </c>
      <c r="E15" s="66">
        <v>404</v>
      </c>
      <c r="F15" s="66">
        <v>321.09</v>
      </c>
      <c r="G15" s="67">
        <v>14152768.792136151</v>
      </c>
      <c r="H15" s="67">
        <v>10697680.099004455</v>
      </c>
      <c r="I15" s="67">
        <v>2320201.6531909816</v>
      </c>
      <c r="J15" s="67">
        <v>27170650.544331588</v>
      </c>
      <c r="K15" s="67">
        <v>35031.605921129085</v>
      </c>
      <c r="L15" s="67">
        <v>26479.406185654592</v>
      </c>
      <c r="M15" s="67">
        <v>5743.073398987578</v>
      </c>
      <c r="N15" s="67">
        <v>67254.08550577125</v>
      </c>
    </row>
    <row r="16" spans="1:14" ht="21">
      <c r="A16" s="149">
        <v>12</v>
      </c>
      <c r="B16" s="109" t="s">
        <v>171</v>
      </c>
      <c r="C16" s="109" t="s">
        <v>120</v>
      </c>
      <c r="D16" s="109" t="s">
        <v>359</v>
      </c>
      <c r="E16" s="66">
        <v>383</v>
      </c>
      <c r="F16" s="66">
        <v>288.45</v>
      </c>
      <c r="G16" s="67">
        <v>16651803.368121492</v>
      </c>
      <c r="H16" s="67">
        <v>7932667.2418455975</v>
      </c>
      <c r="I16" s="67">
        <v>1194419.3341686446</v>
      </c>
      <c r="J16" s="67">
        <v>25778889.944135733</v>
      </c>
      <c r="K16" s="67">
        <v>43477.29338935115</v>
      </c>
      <c r="L16" s="67">
        <v>20711.92491343498</v>
      </c>
      <c r="M16" s="67">
        <v>3118.588339865913</v>
      </c>
      <c r="N16" s="67">
        <v>67307.80664265204</v>
      </c>
    </row>
    <row r="17" spans="1:14" ht="21">
      <c r="A17" s="149">
        <v>13</v>
      </c>
      <c r="B17" s="109" t="s">
        <v>98</v>
      </c>
      <c r="C17" s="109" t="s">
        <v>116</v>
      </c>
      <c r="D17" s="109" t="s">
        <v>119</v>
      </c>
      <c r="E17" s="66">
        <v>373</v>
      </c>
      <c r="F17" s="66">
        <v>250.73</v>
      </c>
      <c r="G17" s="67">
        <v>13191564.55696084</v>
      </c>
      <c r="H17" s="67">
        <v>9395748.135695715</v>
      </c>
      <c r="I17" s="67">
        <v>1050816.4951209482</v>
      </c>
      <c r="J17" s="67">
        <v>23638129.187777504</v>
      </c>
      <c r="K17" s="67">
        <v>35366.124817589385</v>
      </c>
      <c r="L17" s="67">
        <v>25189.67328604749</v>
      </c>
      <c r="M17" s="67">
        <v>2817.2023997880647</v>
      </c>
      <c r="N17" s="67">
        <v>63373.00050342494</v>
      </c>
    </row>
    <row r="18" spans="1:14" ht="21">
      <c r="A18" s="149">
        <v>14</v>
      </c>
      <c r="B18" s="109" t="s">
        <v>99</v>
      </c>
      <c r="C18" s="109" t="s">
        <v>103</v>
      </c>
      <c r="D18" s="109" t="s">
        <v>250</v>
      </c>
      <c r="E18" s="66">
        <v>335</v>
      </c>
      <c r="F18" s="66">
        <v>271.83</v>
      </c>
      <c r="G18" s="67">
        <v>11981522.753017442</v>
      </c>
      <c r="H18" s="67">
        <v>9056496.251245385</v>
      </c>
      <c r="I18" s="67">
        <v>1964248.078068157</v>
      </c>
      <c r="J18" s="67">
        <v>23002267.082330983</v>
      </c>
      <c r="K18" s="67">
        <v>35765.7395612461</v>
      </c>
      <c r="L18" s="67">
        <v>27034.317167896672</v>
      </c>
      <c r="M18" s="67">
        <v>5863.427098710917</v>
      </c>
      <c r="N18" s="67">
        <v>68663.48382785369</v>
      </c>
    </row>
    <row r="19" spans="1:14" ht="21">
      <c r="A19" s="149">
        <v>15</v>
      </c>
      <c r="B19" s="109" t="s">
        <v>80</v>
      </c>
      <c r="C19" s="109" t="s">
        <v>88</v>
      </c>
      <c r="D19" s="109" t="s">
        <v>339</v>
      </c>
      <c r="E19" s="66">
        <v>331</v>
      </c>
      <c r="F19" s="66">
        <v>255.10999999999999</v>
      </c>
      <c r="G19" s="67">
        <v>22017653.217172574</v>
      </c>
      <c r="H19" s="67">
        <v>7021653.4095411</v>
      </c>
      <c r="I19" s="67">
        <v>696971.0178778216</v>
      </c>
      <c r="J19" s="67">
        <v>29736277.644591495</v>
      </c>
      <c r="K19" s="67">
        <v>66518.58977997757</v>
      </c>
      <c r="L19" s="67">
        <v>21213.45440948973</v>
      </c>
      <c r="M19" s="67">
        <v>2105.6526219873763</v>
      </c>
      <c r="N19" s="67">
        <v>89837.69681145468</v>
      </c>
    </row>
    <row r="20" spans="1:14" ht="21">
      <c r="A20" s="149">
        <v>16</v>
      </c>
      <c r="B20" s="109" t="s">
        <v>57</v>
      </c>
      <c r="C20" s="109" t="s">
        <v>64</v>
      </c>
      <c r="D20" s="109" t="s">
        <v>329</v>
      </c>
      <c r="E20" s="66">
        <v>326</v>
      </c>
      <c r="F20" s="66">
        <v>232.11</v>
      </c>
      <c r="G20" s="67">
        <v>11634741.212233357</v>
      </c>
      <c r="H20" s="67">
        <v>4483059.221419831</v>
      </c>
      <c r="I20" s="67">
        <v>532891.4232158287</v>
      </c>
      <c r="J20" s="67">
        <v>16650691.856869016</v>
      </c>
      <c r="K20" s="67">
        <v>35689.390221574715</v>
      </c>
      <c r="L20" s="67">
        <v>13751.715403128315</v>
      </c>
      <c r="M20" s="67">
        <v>1634.6362675332168</v>
      </c>
      <c r="N20" s="67">
        <v>51075.74189223625</v>
      </c>
    </row>
    <row r="21" spans="1:14" ht="21">
      <c r="A21" s="149">
        <v>17</v>
      </c>
      <c r="B21" s="109" t="s">
        <v>57</v>
      </c>
      <c r="C21" s="109" t="s">
        <v>64</v>
      </c>
      <c r="D21" s="109" t="s">
        <v>325</v>
      </c>
      <c r="E21" s="66">
        <v>309</v>
      </c>
      <c r="F21" s="66">
        <v>226.5</v>
      </c>
      <c r="G21" s="67">
        <v>11353534.4645679</v>
      </c>
      <c r="H21" s="67">
        <v>4374705.586366773</v>
      </c>
      <c r="I21" s="67">
        <v>520011.6641178113</v>
      </c>
      <c r="J21" s="67">
        <v>16248251.715052484</v>
      </c>
      <c r="K21" s="67">
        <v>36742.829982420386</v>
      </c>
      <c r="L21" s="67">
        <v>14157.623256850397</v>
      </c>
      <c r="M21" s="67">
        <v>1682.8856443942113</v>
      </c>
      <c r="N21" s="67">
        <v>52583.338883665</v>
      </c>
    </row>
    <row r="22" spans="1:14" ht="21">
      <c r="A22" s="149">
        <v>18</v>
      </c>
      <c r="B22" s="109" t="s">
        <v>99</v>
      </c>
      <c r="C22" s="109" t="s">
        <v>103</v>
      </c>
      <c r="D22" s="109" t="s">
        <v>340</v>
      </c>
      <c r="E22" s="66">
        <v>309</v>
      </c>
      <c r="F22" s="66">
        <v>257.97</v>
      </c>
      <c r="G22" s="67">
        <v>11370611.869903652</v>
      </c>
      <c r="H22" s="67">
        <v>8594725.887259584</v>
      </c>
      <c r="I22" s="67">
        <v>1864095.488721784</v>
      </c>
      <c r="J22" s="67">
        <v>21829433.24588502</v>
      </c>
      <c r="K22" s="67">
        <v>36798.09666635486</v>
      </c>
      <c r="L22" s="67">
        <v>27814.646884335223</v>
      </c>
      <c r="M22" s="67">
        <v>6032.671484536518</v>
      </c>
      <c r="N22" s="67">
        <v>70645.4150352266</v>
      </c>
    </row>
    <row r="23" spans="1:14" ht="21">
      <c r="A23" s="149">
        <v>19</v>
      </c>
      <c r="B23" s="109" t="s">
        <v>70</v>
      </c>
      <c r="C23" s="109" t="s">
        <v>75</v>
      </c>
      <c r="D23" s="109" t="s">
        <v>356</v>
      </c>
      <c r="E23" s="66">
        <v>298</v>
      </c>
      <c r="F23" s="66">
        <v>211.22</v>
      </c>
      <c r="G23" s="67">
        <v>10796597.258516515</v>
      </c>
      <c r="H23" s="67">
        <v>6454300.233015577</v>
      </c>
      <c r="I23" s="67">
        <v>859377.9531938047</v>
      </c>
      <c r="J23" s="67">
        <v>18110275.444725897</v>
      </c>
      <c r="K23" s="67">
        <v>36230.192142672866</v>
      </c>
      <c r="L23" s="67">
        <v>21658.72561414623</v>
      </c>
      <c r="M23" s="67">
        <v>2883.8186348785393</v>
      </c>
      <c r="N23" s="67">
        <v>60772.73639169763</v>
      </c>
    </row>
    <row r="24" spans="1:14" ht="21">
      <c r="A24" s="149">
        <v>20</v>
      </c>
      <c r="B24" s="109" t="s">
        <v>99</v>
      </c>
      <c r="C24" s="109" t="s">
        <v>103</v>
      </c>
      <c r="D24" s="109" t="s">
        <v>320</v>
      </c>
      <c r="E24" s="66">
        <v>297</v>
      </c>
      <c r="F24" s="66">
        <v>274.72</v>
      </c>
      <c r="G24" s="67">
        <v>12108906.046826884</v>
      </c>
      <c r="H24" s="67">
        <v>9152781.702321792</v>
      </c>
      <c r="I24" s="67">
        <v>1985131.2658900202</v>
      </c>
      <c r="J24" s="67">
        <v>23246819.015038695</v>
      </c>
      <c r="K24" s="67">
        <v>40770.72743039355</v>
      </c>
      <c r="L24" s="67">
        <v>30817.44680916428</v>
      </c>
      <c r="M24" s="67">
        <v>6683.943656195354</v>
      </c>
      <c r="N24" s="67">
        <v>78272.11789575318</v>
      </c>
    </row>
    <row r="25" spans="1:14" ht="21">
      <c r="A25" s="149">
        <v>21</v>
      </c>
      <c r="B25" s="109" t="s">
        <v>93</v>
      </c>
      <c r="C25" s="109" t="s">
        <v>103</v>
      </c>
      <c r="D25" s="109" t="s">
        <v>361</v>
      </c>
      <c r="E25" s="66">
        <v>283</v>
      </c>
      <c r="F25" s="66">
        <v>195.33</v>
      </c>
      <c r="G25" s="67">
        <v>8609612.034532234</v>
      </c>
      <c r="H25" s="67">
        <v>6507763.722752313</v>
      </c>
      <c r="I25" s="67">
        <v>1411457.8121953176</v>
      </c>
      <c r="J25" s="67">
        <v>16528833.569479866</v>
      </c>
      <c r="K25" s="67">
        <v>30422.657365838284</v>
      </c>
      <c r="L25" s="67">
        <v>22995.631529160117</v>
      </c>
      <c r="M25" s="67">
        <v>4987.483435319144</v>
      </c>
      <c r="N25" s="67">
        <v>58405.772330317544</v>
      </c>
    </row>
    <row r="26" spans="1:14" ht="21">
      <c r="A26" s="149">
        <v>22</v>
      </c>
      <c r="B26" s="109" t="s">
        <v>62</v>
      </c>
      <c r="C26" s="109" t="s">
        <v>72</v>
      </c>
      <c r="D26" s="109" t="s">
        <v>169</v>
      </c>
      <c r="E26" s="66">
        <v>278</v>
      </c>
      <c r="F26" s="66">
        <v>191.42</v>
      </c>
      <c r="G26" s="67">
        <v>13538502.68951009</v>
      </c>
      <c r="H26" s="67">
        <v>3766267.3087567445</v>
      </c>
      <c r="I26" s="67">
        <v>436328.62032802205</v>
      </c>
      <c r="J26" s="67">
        <v>17741098.618594855</v>
      </c>
      <c r="K26" s="67">
        <v>48699.649962266514</v>
      </c>
      <c r="L26" s="67">
        <v>13547.724132218505</v>
      </c>
      <c r="M26" s="67">
        <v>1569.527411251878</v>
      </c>
      <c r="N26" s="67">
        <v>63816.901505736896</v>
      </c>
    </row>
    <row r="27" spans="1:14" ht="21">
      <c r="A27" s="149">
        <v>23</v>
      </c>
      <c r="B27" s="109" t="s">
        <v>57</v>
      </c>
      <c r="C27" s="109" t="s">
        <v>58</v>
      </c>
      <c r="D27" s="109" t="s">
        <v>191</v>
      </c>
      <c r="E27" s="66">
        <v>277</v>
      </c>
      <c r="F27" s="66">
        <v>200.73</v>
      </c>
      <c r="G27" s="67">
        <v>6868642.031694817</v>
      </c>
      <c r="H27" s="67">
        <v>4951505.7354292525</v>
      </c>
      <c r="I27" s="67">
        <v>671075.7446720047</v>
      </c>
      <c r="J27" s="67">
        <v>12491223.511796074</v>
      </c>
      <c r="K27" s="67">
        <v>24796.541630667212</v>
      </c>
      <c r="L27" s="67">
        <v>17875.47196905867</v>
      </c>
      <c r="M27" s="67">
        <v>2422.6561179494756</v>
      </c>
      <c r="N27" s="67">
        <v>45094.66971767536</v>
      </c>
    </row>
    <row r="28" spans="1:14" ht="21">
      <c r="A28" s="149">
        <v>24</v>
      </c>
      <c r="B28" s="109" t="s">
        <v>99</v>
      </c>
      <c r="C28" s="109" t="s">
        <v>103</v>
      </c>
      <c r="D28" s="109" t="s">
        <v>343</v>
      </c>
      <c r="E28" s="66">
        <v>270</v>
      </c>
      <c r="F28" s="66">
        <v>243.64</v>
      </c>
      <c r="G28" s="67">
        <v>10738984.672571715</v>
      </c>
      <c r="H28" s="67">
        <v>8117296.643686958</v>
      </c>
      <c r="I28" s="67">
        <v>1760546.6715981525</v>
      </c>
      <c r="J28" s="67">
        <v>20616827.987856824</v>
      </c>
      <c r="K28" s="67">
        <v>39774.017305821166</v>
      </c>
      <c r="L28" s="67">
        <v>30064.06164328503</v>
      </c>
      <c r="M28" s="67">
        <v>6520.543228141306</v>
      </c>
      <c r="N28" s="67">
        <v>76358.6221772475</v>
      </c>
    </row>
    <row r="29" spans="1:14" ht="21">
      <c r="A29" s="149">
        <v>25</v>
      </c>
      <c r="B29" s="109" t="s">
        <v>99</v>
      </c>
      <c r="C29" s="109" t="s">
        <v>103</v>
      </c>
      <c r="D29" s="109" t="s">
        <v>348</v>
      </c>
      <c r="E29" s="66">
        <v>259</v>
      </c>
      <c r="F29" s="66">
        <v>220.67</v>
      </c>
      <c r="G29" s="67">
        <v>9726529.911740275</v>
      </c>
      <c r="H29" s="67">
        <v>7352010.549837469</v>
      </c>
      <c r="I29" s="67">
        <v>1594565.0715053533</v>
      </c>
      <c r="J29" s="67">
        <v>18673105.533083096</v>
      </c>
      <c r="K29" s="67">
        <v>37554.16954339875</v>
      </c>
      <c r="L29" s="67">
        <v>28386.141119063588</v>
      </c>
      <c r="M29" s="67">
        <v>6156.621897704067</v>
      </c>
      <c r="N29" s="67">
        <v>72096.9325601664</v>
      </c>
    </row>
    <row r="30" spans="1:14" ht="21">
      <c r="A30" s="149">
        <v>26</v>
      </c>
      <c r="B30" s="109" t="s">
        <v>80</v>
      </c>
      <c r="C30" s="109" t="s">
        <v>85</v>
      </c>
      <c r="D30" s="109" t="s">
        <v>331</v>
      </c>
      <c r="E30" s="66">
        <v>257</v>
      </c>
      <c r="F30" s="66">
        <v>183.89</v>
      </c>
      <c r="G30" s="67">
        <v>10567172.652774166</v>
      </c>
      <c r="H30" s="67">
        <v>6264696.976398878</v>
      </c>
      <c r="I30" s="67">
        <v>511330.90349252016</v>
      </c>
      <c r="J30" s="67">
        <v>17343200.532665566</v>
      </c>
      <c r="K30" s="67">
        <v>41117.40331818742</v>
      </c>
      <c r="L30" s="67">
        <v>24376.252826454776</v>
      </c>
      <c r="M30" s="67">
        <v>1989.614410476732</v>
      </c>
      <c r="N30" s="67">
        <v>67483.27055511893</v>
      </c>
    </row>
    <row r="31" spans="1:14" ht="21">
      <c r="A31" s="149">
        <v>27</v>
      </c>
      <c r="B31" s="109" t="s">
        <v>182</v>
      </c>
      <c r="C31" s="109" t="s">
        <v>101</v>
      </c>
      <c r="D31" s="109" t="s">
        <v>360</v>
      </c>
      <c r="E31" s="66">
        <v>245</v>
      </c>
      <c r="F31" s="66">
        <v>258.56</v>
      </c>
      <c r="G31" s="67">
        <v>32040959.52</v>
      </c>
      <c r="H31" s="67">
        <v>19302172.94</v>
      </c>
      <c r="I31" s="67">
        <v>1844891.44</v>
      </c>
      <c r="J31" s="67">
        <v>53188023.9</v>
      </c>
      <c r="K31" s="67">
        <v>130779.42661224489</v>
      </c>
      <c r="L31" s="67">
        <v>78784.37934693877</v>
      </c>
      <c r="M31" s="67">
        <v>7530.169142857143</v>
      </c>
      <c r="N31" s="67">
        <v>217093.9751020408</v>
      </c>
    </row>
    <row r="32" spans="1:14" ht="21">
      <c r="A32" s="149">
        <v>28</v>
      </c>
      <c r="B32" s="109" t="s">
        <v>93</v>
      </c>
      <c r="C32" s="109" t="s">
        <v>103</v>
      </c>
      <c r="D32" s="109" t="s">
        <v>362</v>
      </c>
      <c r="E32" s="66">
        <v>233</v>
      </c>
      <c r="F32" s="66">
        <v>153.97</v>
      </c>
      <c r="G32" s="67">
        <v>6786576.383335524</v>
      </c>
      <c r="H32" s="67">
        <v>5129782.319112137</v>
      </c>
      <c r="I32" s="67">
        <v>1112589.7677966163</v>
      </c>
      <c r="J32" s="67">
        <v>13028948.470244277</v>
      </c>
      <c r="K32" s="67">
        <v>29126.93726753444</v>
      </c>
      <c r="L32" s="67">
        <v>22016.23312923664</v>
      </c>
      <c r="M32" s="67">
        <v>4775.063381101358</v>
      </c>
      <c r="N32" s="67">
        <v>55918.23377787243</v>
      </c>
    </row>
    <row r="33" spans="1:14" ht="21">
      <c r="A33" s="149">
        <v>29</v>
      </c>
      <c r="B33" s="109" t="s">
        <v>206</v>
      </c>
      <c r="C33" s="109" t="s">
        <v>116</v>
      </c>
      <c r="D33" s="109" t="s">
        <v>321</v>
      </c>
      <c r="E33" s="66">
        <v>231</v>
      </c>
      <c r="F33" s="66">
        <v>197.31</v>
      </c>
      <c r="G33" s="67">
        <v>10380997.89707631</v>
      </c>
      <c r="H33" s="67">
        <v>7393910.041295902</v>
      </c>
      <c r="I33" s="67">
        <v>826931.7698413206</v>
      </c>
      <c r="J33" s="67">
        <v>18601839.708213534</v>
      </c>
      <c r="K33" s="67">
        <v>44939.38483582818</v>
      </c>
      <c r="L33" s="67">
        <v>32008.268577038536</v>
      </c>
      <c r="M33" s="67">
        <v>3579.791211434288</v>
      </c>
      <c r="N33" s="67">
        <v>80527.44462430102</v>
      </c>
    </row>
    <row r="34" spans="1:14" ht="21">
      <c r="A34" s="149">
        <v>30</v>
      </c>
      <c r="B34" s="109" t="s">
        <v>80</v>
      </c>
      <c r="C34" s="109" t="s">
        <v>85</v>
      </c>
      <c r="D34" s="109" t="s">
        <v>332</v>
      </c>
      <c r="E34" s="66">
        <v>219</v>
      </c>
      <c r="F34" s="66">
        <v>161.05</v>
      </c>
      <c r="G34" s="67">
        <v>9254680.274779921</v>
      </c>
      <c r="H34" s="67">
        <v>5486592.245630755</v>
      </c>
      <c r="I34" s="67">
        <v>447821.20837169176</v>
      </c>
      <c r="J34" s="67">
        <v>15189093.728782367</v>
      </c>
      <c r="K34" s="67">
        <v>42258.81404009097</v>
      </c>
      <c r="L34" s="67">
        <v>25052.932628450937</v>
      </c>
      <c r="M34" s="67">
        <v>2044.8457003273595</v>
      </c>
      <c r="N34" s="67">
        <v>69356.59236886927</v>
      </c>
    </row>
    <row r="35" spans="1:14" ht="21">
      <c r="A35" s="149">
        <v>31</v>
      </c>
      <c r="B35" s="109" t="s">
        <v>99</v>
      </c>
      <c r="C35" s="109" t="s">
        <v>278</v>
      </c>
      <c r="D35" s="109" t="s">
        <v>229</v>
      </c>
      <c r="E35" s="66">
        <v>217</v>
      </c>
      <c r="F35" s="66">
        <v>198.97</v>
      </c>
      <c r="G35" s="67">
        <v>10862506.68094455</v>
      </c>
      <c r="H35" s="67">
        <v>4045998.512940473</v>
      </c>
      <c r="I35" s="67">
        <v>453538.3203619368</v>
      </c>
      <c r="J35" s="67">
        <v>15362043.514246961</v>
      </c>
      <c r="K35" s="67">
        <v>50057.63447439885</v>
      </c>
      <c r="L35" s="67">
        <v>18645.154437513702</v>
      </c>
      <c r="M35" s="67">
        <v>2090.0383426817366</v>
      </c>
      <c r="N35" s="67">
        <v>70792.8272545943</v>
      </c>
    </row>
    <row r="36" spans="1:14" ht="21">
      <c r="A36" s="149">
        <v>32</v>
      </c>
      <c r="B36" s="109" t="s">
        <v>99</v>
      </c>
      <c r="C36" s="109" t="s">
        <v>103</v>
      </c>
      <c r="D36" s="109" t="s">
        <v>341</v>
      </c>
      <c r="E36" s="66">
        <v>192</v>
      </c>
      <c r="F36" s="66">
        <v>135.92</v>
      </c>
      <c r="G36" s="67">
        <v>5990981.76283019</v>
      </c>
      <c r="H36" s="67">
        <v>4528414.709448084</v>
      </c>
      <c r="I36" s="67">
        <v>982160.1691168153</v>
      </c>
      <c r="J36" s="67">
        <v>11501556.64139509</v>
      </c>
      <c r="K36" s="67">
        <v>31203.030014740576</v>
      </c>
      <c r="L36" s="67">
        <v>23585.493278375438</v>
      </c>
      <c r="M36" s="67">
        <v>5115.417547483413</v>
      </c>
      <c r="N36" s="67">
        <v>59903.940840599425</v>
      </c>
    </row>
    <row r="37" spans="1:14" ht="21">
      <c r="A37" s="149">
        <v>33</v>
      </c>
      <c r="B37" s="109" t="s">
        <v>70</v>
      </c>
      <c r="C37" s="109" t="s">
        <v>72</v>
      </c>
      <c r="D37" s="109" t="s">
        <v>246</v>
      </c>
      <c r="E37" s="66">
        <v>188</v>
      </c>
      <c r="F37" s="66">
        <v>133.33</v>
      </c>
      <c r="G37" s="67">
        <v>9429989.361573402</v>
      </c>
      <c r="H37" s="67">
        <v>2623322.6427569576</v>
      </c>
      <c r="I37" s="67">
        <v>303916.4922596134</v>
      </c>
      <c r="J37" s="67">
        <v>12357228.496589974</v>
      </c>
      <c r="K37" s="67">
        <v>50159.51788070959</v>
      </c>
      <c r="L37" s="67">
        <v>13953.843844451902</v>
      </c>
      <c r="M37" s="67">
        <v>1616.5770864873055</v>
      </c>
      <c r="N37" s="67">
        <v>65729.9388116488</v>
      </c>
    </row>
    <row r="38" spans="1:14" ht="21">
      <c r="A38" s="149">
        <v>34</v>
      </c>
      <c r="B38" s="109" t="s">
        <v>99</v>
      </c>
      <c r="C38" s="109" t="s">
        <v>103</v>
      </c>
      <c r="D38" s="109" t="s">
        <v>342</v>
      </c>
      <c r="E38" s="66">
        <v>179</v>
      </c>
      <c r="F38" s="66">
        <v>142.34</v>
      </c>
      <c r="G38" s="67">
        <v>6273957.799597185</v>
      </c>
      <c r="H38" s="67">
        <v>4742308.341251033</v>
      </c>
      <c r="I38" s="67">
        <v>1028551.1953508499</v>
      </c>
      <c r="J38" s="67">
        <v>12044817.33619907</v>
      </c>
      <c r="K38" s="67">
        <v>35050.04357316863</v>
      </c>
      <c r="L38" s="67">
        <v>26493.342688553257</v>
      </c>
      <c r="M38" s="67">
        <v>5746.0960634125695</v>
      </c>
      <c r="N38" s="67">
        <v>67289.48232513445</v>
      </c>
    </row>
    <row r="39" spans="1:14" ht="21">
      <c r="A39" s="149">
        <v>35</v>
      </c>
      <c r="B39" s="109" t="s">
        <v>98</v>
      </c>
      <c r="C39" s="109" t="s">
        <v>120</v>
      </c>
      <c r="D39" s="109" t="s">
        <v>121</v>
      </c>
      <c r="E39" s="66">
        <v>175</v>
      </c>
      <c r="F39" s="66">
        <v>123.66</v>
      </c>
      <c r="G39" s="67">
        <v>7138713.8308264995</v>
      </c>
      <c r="H39" s="67">
        <v>3400775.2855837285</v>
      </c>
      <c r="I39" s="67">
        <v>512053.7176747949</v>
      </c>
      <c r="J39" s="67">
        <v>11051542.834085023</v>
      </c>
      <c r="K39" s="67">
        <v>40792.65046186571</v>
      </c>
      <c r="L39" s="67">
        <v>19433.00163190702</v>
      </c>
      <c r="M39" s="67">
        <v>2926.0212438559706</v>
      </c>
      <c r="N39" s="67">
        <v>63151.6733376287</v>
      </c>
    </row>
    <row r="40" spans="1:14" ht="21">
      <c r="A40" s="149">
        <v>36</v>
      </c>
      <c r="B40" s="109" t="s">
        <v>83</v>
      </c>
      <c r="C40" s="109" t="s">
        <v>75</v>
      </c>
      <c r="D40" s="109" t="s">
        <v>77</v>
      </c>
      <c r="E40" s="66">
        <v>162</v>
      </c>
      <c r="F40" s="66">
        <v>121.78</v>
      </c>
      <c r="G40" s="67">
        <v>6224834.836389268</v>
      </c>
      <c r="H40" s="67">
        <v>3721260.687324292</v>
      </c>
      <c r="I40" s="67">
        <v>495478.8710346631</v>
      </c>
      <c r="J40" s="67">
        <v>10441574.394748222</v>
      </c>
      <c r="K40" s="67">
        <v>38424.90639746462</v>
      </c>
      <c r="L40" s="67">
        <v>22970.744983483284</v>
      </c>
      <c r="M40" s="67">
        <v>3058.5115495966857</v>
      </c>
      <c r="N40" s="67">
        <v>64454.1629305446</v>
      </c>
    </row>
    <row r="41" spans="1:14" ht="21">
      <c r="A41" s="149">
        <v>37</v>
      </c>
      <c r="B41" s="109" t="s">
        <v>206</v>
      </c>
      <c r="C41" s="109" t="s">
        <v>116</v>
      </c>
      <c r="D41" s="109" t="s">
        <v>322</v>
      </c>
      <c r="E41" s="66">
        <v>159</v>
      </c>
      <c r="F41" s="66">
        <v>123.97</v>
      </c>
      <c r="G41" s="67">
        <v>6522387.660536974</v>
      </c>
      <c r="H41" s="67">
        <v>4645598.438089569</v>
      </c>
      <c r="I41" s="67">
        <v>519561.7632518803</v>
      </c>
      <c r="J41" s="67">
        <v>11687547.861878423</v>
      </c>
      <c r="K41" s="67">
        <v>41021.30604111304</v>
      </c>
      <c r="L41" s="67">
        <v>29217.60023955704</v>
      </c>
      <c r="M41" s="67">
        <v>3267.68404560931</v>
      </c>
      <c r="N41" s="67">
        <v>73506.59032627939</v>
      </c>
    </row>
    <row r="42" spans="1:14" ht="21">
      <c r="A42" s="149">
        <v>38</v>
      </c>
      <c r="B42" s="109" t="s">
        <v>80</v>
      </c>
      <c r="C42" s="109" t="s">
        <v>85</v>
      </c>
      <c r="D42" s="109" t="s">
        <v>333</v>
      </c>
      <c r="E42" s="66">
        <v>158</v>
      </c>
      <c r="F42" s="66">
        <v>114.75</v>
      </c>
      <c r="G42" s="67">
        <v>6594067.441980725</v>
      </c>
      <c r="H42" s="67">
        <v>3909260.851823217</v>
      </c>
      <c r="I42" s="67">
        <v>319077.8246547757</v>
      </c>
      <c r="J42" s="67">
        <v>10822406.118458718</v>
      </c>
      <c r="K42" s="67">
        <v>41734.60406316914</v>
      </c>
      <c r="L42" s="67">
        <v>24742.15729002036</v>
      </c>
      <c r="M42" s="67">
        <v>2019.479902878327</v>
      </c>
      <c r="N42" s="67">
        <v>68496.24125606783</v>
      </c>
    </row>
    <row r="43" spans="1:14" ht="21">
      <c r="A43" s="149">
        <v>39</v>
      </c>
      <c r="B43" s="109" t="s">
        <v>99</v>
      </c>
      <c r="C43" s="109" t="s">
        <v>103</v>
      </c>
      <c r="D43" s="109" t="s">
        <v>346</v>
      </c>
      <c r="E43" s="66">
        <v>156</v>
      </c>
      <c r="F43" s="66">
        <v>129.47</v>
      </c>
      <c r="G43" s="67">
        <v>5706683.408134379</v>
      </c>
      <c r="H43" s="67">
        <v>4313521.574692787</v>
      </c>
      <c r="I43" s="67">
        <v>935552.3623863603</v>
      </c>
      <c r="J43" s="67">
        <v>10955757.345213527</v>
      </c>
      <c r="K43" s="67">
        <v>36581.3038982973</v>
      </c>
      <c r="L43" s="67">
        <v>27650.77932495376</v>
      </c>
      <c r="M43" s="67">
        <v>5997.130528117695</v>
      </c>
      <c r="N43" s="67">
        <v>70229.21375136875</v>
      </c>
    </row>
    <row r="44" spans="1:14" ht="21">
      <c r="A44" s="149">
        <v>40</v>
      </c>
      <c r="B44" s="109" t="s">
        <v>83</v>
      </c>
      <c r="C44" s="109" t="s">
        <v>75</v>
      </c>
      <c r="D44" s="109" t="s">
        <v>311</v>
      </c>
      <c r="E44" s="66">
        <v>155</v>
      </c>
      <c r="F44" s="66">
        <v>87.91</v>
      </c>
      <c r="G44" s="67">
        <v>4493555.842231734</v>
      </c>
      <c r="H44" s="67">
        <v>2686286.9684897233</v>
      </c>
      <c r="I44" s="67">
        <v>357674.0643180919</v>
      </c>
      <c r="J44" s="67">
        <v>7537516.875039549</v>
      </c>
      <c r="K44" s="67">
        <v>28990.68285310796</v>
      </c>
      <c r="L44" s="67">
        <v>17330.883667675633</v>
      </c>
      <c r="M44" s="67">
        <v>2307.5746085038186</v>
      </c>
      <c r="N44" s="67">
        <v>48629.14112928741</v>
      </c>
    </row>
    <row r="45" spans="1:14" ht="21">
      <c r="A45" s="149">
        <v>41</v>
      </c>
      <c r="B45" s="109" t="s">
        <v>93</v>
      </c>
      <c r="C45" s="109" t="s">
        <v>88</v>
      </c>
      <c r="D45" s="109" t="s">
        <v>361</v>
      </c>
      <c r="E45" s="66">
        <v>146</v>
      </c>
      <c r="F45" s="66">
        <v>135.64</v>
      </c>
      <c r="G45" s="67">
        <v>11706614.724539563</v>
      </c>
      <c r="H45" s="67">
        <v>3733358.427620065</v>
      </c>
      <c r="I45" s="67">
        <v>370574.06163987186</v>
      </c>
      <c r="J45" s="67">
        <v>15810547.213799499</v>
      </c>
      <c r="K45" s="67">
        <v>80182.29263383262</v>
      </c>
      <c r="L45" s="67">
        <v>25570.948134384005</v>
      </c>
      <c r="M45" s="67">
        <v>2538.178504382684</v>
      </c>
      <c r="N45" s="67">
        <v>108291.4192725993</v>
      </c>
    </row>
    <row r="46" spans="1:14" ht="21">
      <c r="A46" s="149">
        <v>42</v>
      </c>
      <c r="B46" s="109" t="s">
        <v>57</v>
      </c>
      <c r="C46" s="109" t="s">
        <v>64</v>
      </c>
      <c r="D46" s="109" t="s">
        <v>326</v>
      </c>
      <c r="E46" s="66">
        <v>142</v>
      </c>
      <c r="F46" s="66">
        <v>137.44</v>
      </c>
      <c r="G46" s="67">
        <v>6889314.687903806</v>
      </c>
      <c r="H46" s="67">
        <v>2654567.4869326674</v>
      </c>
      <c r="I46" s="67">
        <v>315542.61861524056</v>
      </c>
      <c r="J46" s="67">
        <v>9859424.793451713</v>
      </c>
      <c r="K46" s="67">
        <v>48516.300619040885</v>
      </c>
      <c r="L46" s="67">
        <v>18694.137231920195</v>
      </c>
      <c r="M46" s="67">
        <v>2222.1311170087365</v>
      </c>
      <c r="N46" s="67">
        <v>69432.56896796983</v>
      </c>
    </row>
    <row r="47" spans="1:14" ht="21">
      <c r="A47" s="149">
        <v>43</v>
      </c>
      <c r="B47" s="109" t="s">
        <v>277</v>
      </c>
      <c r="C47" s="109" t="s">
        <v>114</v>
      </c>
      <c r="D47" s="109" t="s">
        <v>243</v>
      </c>
      <c r="E47" s="66">
        <v>135</v>
      </c>
      <c r="F47" s="66">
        <v>91.11</v>
      </c>
      <c r="G47" s="67">
        <v>9442759.998046821</v>
      </c>
      <c r="H47" s="67">
        <v>6622109.329284892</v>
      </c>
      <c r="I47" s="67">
        <v>384048.8673987463</v>
      </c>
      <c r="J47" s="67">
        <v>16448918.19473046</v>
      </c>
      <c r="K47" s="67">
        <v>69946.37035590237</v>
      </c>
      <c r="L47" s="67">
        <v>49052.66169840661</v>
      </c>
      <c r="M47" s="67">
        <v>2844.8064251758988</v>
      </c>
      <c r="N47" s="67">
        <v>121843.83847948487</v>
      </c>
    </row>
    <row r="48" spans="1:14" ht="21">
      <c r="A48" s="149">
        <v>44</v>
      </c>
      <c r="B48" s="109" t="s">
        <v>276</v>
      </c>
      <c r="C48" s="109" t="s">
        <v>278</v>
      </c>
      <c r="D48" s="109" t="s">
        <v>153</v>
      </c>
      <c r="E48" s="66">
        <v>132</v>
      </c>
      <c r="F48" s="66">
        <v>111.86</v>
      </c>
      <c r="G48" s="67">
        <v>6106850.265519713</v>
      </c>
      <c r="H48" s="67">
        <v>2274641.3713500593</v>
      </c>
      <c r="I48" s="67">
        <v>254977.11471923537</v>
      </c>
      <c r="J48" s="67">
        <v>8636468.751589008</v>
      </c>
      <c r="K48" s="67">
        <v>46264.017163028126</v>
      </c>
      <c r="L48" s="67">
        <v>17232.131601136814</v>
      </c>
      <c r="M48" s="67">
        <v>1931.6448084790559</v>
      </c>
      <c r="N48" s="67">
        <v>65427.793572644</v>
      </c>
    </row>
    <row r="49" spans="1:14" ht="21">
      <c r="A49" s="149">
        <v>45</v>
      </c>
      <c r="B49" s="109" t="s">
        <v>57</v>
      </c>
      <c r="C49" s="109" t="s">
        <v>58</v>
      </c>
      <c r="D49" s="109" t="s">
        <v>60</v>
      </c>
      <c r="E49" s="66">
        <v>131</v>
      </c>
      <c r="F49" s="66">
        <v>104.39</v>
      </c>
      <c r="G49" s="67">
        <v>3572049.7269397797</v>
      </c>
      <c r="H49" s="67">
        <v>2575039.524343445</v>
      </c>
      <c r="I49" s="67">
        <v>348994.15626119956</v>
      </c>
      <c r="J49" s="67">
        <v>6496083.407544424</v>
      </c>
      <c r="K49" s="67">
        <v>27267.555167479233</v>
      </c>
      <c r="L49" s="67">
        <v>19656.7902621637</v>
      </c>
      <c r="M49" s="67">
        <v>2664.077528711447</v>
      </c>
      <c r="N49" s="67">
        <v>49588.42295835438</v>
      </c>
    </row>
    <row r="50" spans="1:14" ht="21">
      <c r="A50" s="149">
        <v>46</v>
      </c>
      <c r="B50" s="109" t="s">
        <v>80</v>
      </c>
      <c r="C50" s="109" t="s">
        <v>85</v>
      </c>
      <c r="D50" s="109" t="s">
        <v>152</v>
      </c>
      <c r="E50" s="66">
        <v>129</v>
      </c>
      <c r="F50" s="66">
        <v>109.08</v>
      </c>
      <c r="G50" s="67">
        <v>6268242.933082854</v>
      </c>
      <c r="H50" s="67">
        <v>3716097.374439011</v>
      </c>
      <c r="I50" s="67">
        <v>303311.6262600691</v>
      </c>
      <c r="J50" s="67">
        <v>10287651.933781933</v>
      </c>
      <c r="K50" s="67">
        <v>48591.030489014374</v>
      </c>
      <c r="L50" s="67">
        <v>28806.956391000083</v>
      </c>
      <c r="M50" s="67">
        <v>2351.2529167447215</v>
      </c>
      <c r="N50" s="67">
        <v>79749.23979675918</v>
      </c>
    </row>
    <row r="51" spans="1:14" ht="21">
      <c r="A51" s="149">
        <v>47</v>
      </c>
      <c r="B51" s="109" t="s">
        <v>70</v>
      </c>
      <c r="C51" s="109" t="s">
        <v>88</v>
      </c>
      <c r="D51" s="109" t="s">
        <v>358</v>
      </c>
      <c r="E51" s="66">
        <v>128</v>
      </c>
      <c r="F51" s="66">
        <v>123.78</v>
      </c>
      <c r="G51" s="67">
        <v>10683019.541459063</v>
      </c>
      <c r="H51" s="67">
        <v>3406923.5193955447</v>
      </c>
      <c r="I51" s="67">
        <v>338172.0535961615</v>
      </c>
      <c r="J51" s="67">
        <v>14428115.11445077</v>
      </c>
      <c r="K51" s="67">
        <v>83461.09016764893</v>
      </c>
      <c r="L51" s="67">
        <v>26616.589995277693</v>
      </c>
      <c r="M51" s="67">
        <v>2641.9691687200116</v>
      </c>
      <c r="N51" s="67">
        <v>112719.64933164664</v>
      </c>
    </row>
    <row r="52" spans="1:14" ht="21">
      <c r="A52" s="149">
        <v>48</v>
      </c>
      <c r="B52" s="109" t="s">
        <v>206</v>
      </c>
      <c r="C52" s="109" t="s">
        <v>116</v>
      </c>
      <c r="D52" s="109" t="s">
        <v>320</v>
      </c>
      <c r="E52" s="66">
        <v>125</v>
      </c>
      <c r="F52" s="66">
        <v>110.94</v>
      </c>
      <c r="G52" s="67">
        <v>5836845.100104637</v>
      </c>
      <c r="H52" s="67">
        <v>4157317.824648357</v>
      </c>
      <c r="I52" s="67">
        <v>464952.66608988954</v>
      </c>
      <c r="J52" s="67">
        <v>10459115.590842884</v>
      </c>
      <c r="K52" s="67">
        <v>46694.7608008371</v>
      </c>
      <c r="L52" s="67">
        <v>33258.54259718685</v>
      </c>
      <c r="M52" s="67">
        <v>3719.6213287191163</v>
      </c>
      <c r="N52" s="67">
        <v>83672.92472674308</v>
      </c>
    </row>
    <row r="53" spans="1:14" ht="21">
      <c r="A53" s="149">
        <v>49</v>
      </c>
      <c r="B53" s="109" t="s">
        <v>57</v>
      </c>
      <c r="C53" s="109" t="s">
        <v>64</v>
      </c>
      <c r="D53" s="109" t="s">
        <v>328</v>
      </c>
      <c r="E53" s="66">
        <v>122</v>
      </c>
      <c r="F53" s="66">
        <v>92.25</v>
      </c>
      <c r="G53" s="67">
        <v>4624121.652787588</v>
      </c>
      <c r="H53" s="67">
        <v>1781750.9507387849</v>
      </c>
      <c r="I53" s="67">
        <v>211792.83008771786</v>
      </c>
      <c r="J53" s="67">
        <v>6617665.43361409</v>
      </c>
      <c r="K53" s="67">
        <v>37902.636498258915</v>
      </c>
      <c r="L53" s="67">
        <v>14604.515989662172</v>
      </c>
      <c r="M53" s="67">
        <v>1736.0068039976873</v>
      </c>
      <c r="N53" s="67">
        <v>54243.159291918775</v>
      </c>
    </row>
    <row r="54" spans="1:14" ht="21">
      <c r="A54" s="149">
        <v>50</v>
      </c>
      <c r="B54" s="109" t="s">
        <v>95</v>
      </c>
      <c r="C54" s="109" t="s">
        <v>88</v>
      </c>
      <c r="D54" s="109" t="s">
        <v>96</v>
      </c>
      <c r="E54" s="66">
        <v>121</v>
      </c>
      <c r="F54" s="66">
        <v>96.17</v>
      </c>
      <c r="G54" s="67">
        <v>8300096.859768284</v>
      </c>
      <c r="H54" s="67">
        <v>2646985.25497067</v>
      </c>
      <c r="I54" s="67">
        <v>262740.3974336957</v>
      </c>
      <c r="J54" s="67">
        <v>11209822.51217265</v>
      </c>
      <c r="K54" s="67">
        <v>68595.84181626681</v>
      </c>
      <c r="L54" s="67">
        <v>21875.911198104714</v>
      </c>
      <c r="M54" s="67">
        <v>2171.4082432536834</v>
      </c>
      <c r="N54" s="67">
        <v>92643.16125762521</v>
      </c>
    </row>
    <row r="55" spans="1:14" ht="21">
      <c r="A55" s="149">
        <v>51</v>
      </c>
      <c r="B55" s="109" t="s">
        <v>80</v>
      </c>
      <c r="C55" s="109" t="s">
        <v>97</v>
      </c>
      <c r="D55" s="109" t="s">
        <v>203</v>
      </c>
      <c r="E55" s="66">
        <v>121</v>
      </c>
      <c r="F55" s="66">
        <v>89.67</v>
      </c>
      <c r="G55" s="67">
        <v>9196850.578138415</v>
      </c>
      <c r="H55" s="67">
        <v>3099238.593366623</v>
      </c>
      <c r="I55" s="67">
        <v>204396.5474086728</v>
      </c>
      <c r="J55" s="67">
        <v>12500485.71891371</v>
      </c>
      <c r="K55" s="67">
        <v>76007.02957139186</v>
      </c>
      <c r="L55" s="67">
        <v>25613.54209393903</v>
      </c>
      <c r="M55" s="67">
        <v>1689.227664534486</v>
      </c>
      <c r="N55" s="67">
        <v>103309.79932986537</v>
      </c>
    </row>
    <row r="56" spans="1:14" ht="21">
      <c r="A56" s="149">
        <v>52</v>
      </c>
      <c r="B56" s="109" t="s">
        <v>80</v>
      </c>
      <c r="C56" s="109" t="s">
        <v>85</v>
      </c>
      <c r="D56" s="109" t="s">
        <v>335</v>
      </c>
      <c r="E56" s="66">
        <v>120</v>
      </c>
      <c r="F56" s="66">
        <v>91.31</v>
      </c>
      <c r="G56" s="67">
        <v>5247096.279976123</v>
      </c>
      <c r="H56" s="67">
        <v>3110715.541437716</v>
      </c>
      <c r="I56" s="67">
        <v>253899.74875143848</v>
      </c>
      <c r="J56" s="67">
        <v>8611711.570165278</v>
      </c>
      <c r="K56" s="67">
        <v>43725.80233313436</v>
      </c>
      <c r="L56" s="67">
        <v>25922.62951198097</v>
      </c>
      <c r="M56" s="67">
        <v>2115.8312395953208</v>
      </c>
      <c r="N56" s="67">
        <v>71764.26308471065</v>
      </c>
    </row>
    <row r="57" spans="1:14" ht="21">
      <c r="A57" s="149">
        <v>53</v>
      </c>
      <c r="B57" s="109" t="s">
        <v>62</v>
      </c>
      <c r="C57" s="109" t="s">
        <v>114</v>
      </c>
      <c r="D57" s="109" t="s">
        <v>169</v>
      </c>
      <c r="E57" s="66">
        <v>118</v>
      </c>
      <c r="F57" s="66">
        <v>81.11</v>
      </c>
      <c r="G57" s="67">
        <v>8406346.871271843</v>
      </c>
      <c r="H57" s="67">
        <v>5895283.5879519</v>
      </c>
      <c r="I57" s="67">
        <v>341896.64838889596</v>
      </c>
      <c r="J57" s="67">
        <v>14643527.10761264</v>
      </c>
      <c r="K57" s="67">
        <v>71240.22772264274</v>
      </c>
      <c r="L57" s="67">
        <v>49960.03040637204</v>
      </c>
      <c r="M57" s="67">
        <v>2897.4292236347114</v>
      </c>
      <c r="N57" s="67">
        <v>124097.68735264949</v>
      </c>
    </row>
    <row r="58" spans="1:14" ht="21">
      <c r="A58" s="149">
        <v>54</v>
      </c>
      <c r="B58" s="109" t="s">
        <v>122</v>
      </c>
      <c r="C58" s="109" t="s">
        <v>120</v>
      </c>
      <c r="D58" s="109" t="s">
        <v>350</v>
      </c>
      <c r="E58" s="66">
        <v>118</v>
      </c>
      <c r="F58" s="66">
        <v>80.89</v>
      </c>
      <c r="G58" s="67">
        <v>4669663.284615522</v>
      </c>
      <c r="H58" s="67">
        <v>2224556.9533468205</v>
      </c>
      <c r="I58" s="67">
        <v>334950.8751634657</v>
      </c>
      <c r="J58" s="67">
        <v>7229171.113125809</v>
      </c>
      <c r="K58" s="67">
        <v>39573.41766623324</v>
      </c>
      <c r="L58" s="67">
        <v>18852.177570735766</v>
      </c>
      <c r="M58" s="67">
        <v>2838.566738673438</v>
      </c>
      <c r="N58" s="67">
        <v>61264.16197564244</v>
      </c>
    </row>
    <row r="59" spans="1:14" ht="21">
      <c r="A59" s="149">
        <v>55</v>
      </c>
      <c r="B59" s="109" t="s">
        <v>70</v>
      </c>
      <c r="C59" s="109" t="s">
        <v>72</v>
      </c>
      <c r="D59" s="109" t="s">
        <v>270</v>
      </c>
      <c r="E59" s="66">
        <v>115</v>
      </c>
      <c r="F59" s="66">
        <v>79.42</v>
      </c>
      <c r="G59" s="67">
        <v>5617113.591060973</v>
      </c>
      <c r="H59" s="67">
        <v>1562621.197688124</v>
      </c>
      <c r="I59" s="67">
        <v>181032.3844240493</v>
      </c>
      <c r="J59" s="67">
        <v>7360767.173173146</v>
      </c>
      <c r="K59" s="67">
        <v>48844.46600922585</v>
      </c>
      <c r="L59" s="67">
        <v>13588.010414679338</v>
      </c>
      <c r="M59" s="67">
        <v>1574.194647165646</v>
      </c>
      <c r="N59" s="67">
        <v>64006.671071070836</v>
      </c>
    </row>
    <row r="60" spans="1:14" ht="21">
      <c r="A60" s="149">
        <v>56</v>
      </c>
      <c r="B60" s="109" t="s">
        <v>57</v>
      </c>
      <c r="C60" s="109" t="s">
        <v>114</v>
      </c>
      <c r="D60" s="109" t="s">
        <v>231</v>
      </c>
      <c r="E60" s="66">
        <v>109</v>
      </c>
      <c r="F60" s="66">
        <v>80.25</v>
      </c>
      <c r="G60" s="67">
        <v>8317215.342369195</v>
      </c>
      <c r="H60" s="67">
        <v>5832776.5741972625</v>
      </c>
      <c r="I60" s="67">
        <v>338271.55755404884</v>
      </c>
      <c r="J60" s="67">
        <v>14488263.474120507</v>
      </c>
      <c r="K60" s="67">
        <v>76304.72791164399</v>
      </c>
      <c r="L60" s="67">
        <v>53511.711689883145</v>
      </c>
      <c r="M60" s="67">
        <v>3103.4087848995305</v>
      </c>
      <c r="N60" s="67">
        <v>132919.84838642666</v>
      </c>
    </row>
    <row r="61" spans="1:14" ht="21">
      <c r="A61" s="149">
        <v>57</v>
      </c>
      <c r="B61" s="109" t="s">
        <v>98</v>
      </c>
      <c r="C61" s="109" t="s">
        <v>116</v>
      </c>
      <c r="D61" s="109" t="s">
        <v>136</v>
      </c>
      <c r="E61" s="66">
        <v>83</v>
      </c>
      <c r="F61" s="66">
        <v>78.19</v>
      </c>
      <c r="G61" s="67">
        <v>4113781.488887521</v>
      </c>
      <c r="H61" s="67">
        <v>2930058.4163444657</v>
      </c>
      <c r="I61" s="67">
        <v>327696.49325372686</v>
      </c>
      <c r="J61" s="67">
        <v>7371536.398485713</v>
      </c>
      <c r="K61" s="67">
        <v>49563.63239623519</v>
      </c>
      <c r="L61" s="67">
        <v>35301.90863065622</v>
      </c>
      <c r="M61" s="67">
        <v>3948.150521129239</v>
      </c>
      <c r="N61" s="67">
        <v>88813.69154802065</v>
      </c>
    </row>
    <row r="62" spans="1:14" ht="21">
      <c r="A62" s="149">
        <v>58</v>
      </c>
      <c r="B62" s="109" t="s">
        <v>277</v>
      </c>
      <c r="C62" s="109" t="s">
        <v>114</v>
      </c>
      <c r="D62" s="109" t="s">
        <v>229</v>
      </c>
      <c r="E62" s="66">
        <v>83</v>
      </c>
      <c r="F62" s="66">
        <v>62.97</v>
      </c>
      <c r="G62" s="67">
        <v>6526293.459302034</v>
      </c>
      <c r="H62" s="67">
        <v>4576821.693173852</v>
      </c>
      <c r="I62" s="67">
        <v>265432.5231050275</v>
      </c>
      <c r="J62" s="67">
        <v>11368547.675580913</v>
      </c>
      <c r="K62" s="67">
        <v>78630.04167833776</v>
      </c>
      <c r="L62" s="67">
        <v>55142.43003823918</v>
      </c>
      <c r="M62" s="67">
        <v>3197.9822060846686</v>
      </c>
      <c r="N62" s="67">
        <v>136970.45392266163</v>
      </c>
    </row>
    <row r="63" spans="1:14" ht="21">
      <c r="A63" s="149">
        <v>59</v>
      </c>
      <c r="B63" s="109" t="s">
        <v>99</v>
      </c>
      <c r="C63" s="109" t="s">
        <v>103</v>
      </c>
      <c r="D63" s="109" t="s">
        <v>344</v>
      </c>
      <c r="E63" s="66">
        <v>81</v>
      </c>
      <c r="F63" s="66">
        <v>74.83</v>
      </c>
      <c r="G63" s="67">
        <v>3298301.687114355</v>
      </c>
      <c r="H63" s="67">
        <v>2493093.530812244</v>
      </c>
      <c r="I63" s="67">
        <v>540722.8182387529</v>
      </c>
      <c r="J63" s="67">
        <v>6332118.036165352</v>
      </c>
      <c r="K63" s="67">
        <v>40719.77391499204</v>
      </c>
      <c r="L63" s="67">
        <v>30778.932479163504</v>
      </c>
      <c r="M63" s="67">
        <v>6675.590348626579</v>
      </c>
      <c r="N63" s="67">
        <v>78174.29674278211</v>
      </c>
    </row>
    <row r="64" spans="1:14" ht="21">
      <c r="A64" s="149">
        <v>60</v>
      </c>
      <c r="B64" s="109" t="s">
        <v>57</v>
      </c>
      <c r="C64" s="109" t="s">
        <v>72</v>
      </c>
      <c r="D64" s="109" t="s">
        <v>272</v>
      </c>
      <c r="E64" s="66">
        <v>80</v>
      </c>
      <c r="F64" s="66">
        <v>47.89</v>
      </c>
      <c r="G64" s="67">
        <v>3387101.1064707884</v>
      </c>
      <c r="H64" s="67">
        <v>942255.4665988953</v>
      </c>
      <c r="I64" s="67">
        <v>109161.93515572553</v>
      </c>
      <c r="J64" s="67">
        <v>4438518.508225408</v>
      </c>
      <c r="K64" s="67">
        <v>42338.763830884855</v>
      </c>
      <c r="L64" s="67">
        <v>11778.193332486191</v>
      </c>
      <c r="M64" s="67">
        <v>1364.5241894465692</v>
      </c>
      <c r="N64" s="67">
        <v>55481.48135281762</v>
      </c>
    </row>
    <row r="65" spans="1:14" ht="21">
      <c r="A65" s="149">
        <v>61</v>
      </c>
      <c r="B65" s="109" t="s">
        <v>70</v>
      </c>
      <c r="C65" s="109" t="s">
        <v>114</v>
      </c>
      <c r="D65" s="109" t="s">
        <v>246</v>
      </c>
      <c r="E65" s="66">
        <v>79</v>
      </c>
      <c r="F65" s="66">
        <v>59.33</v>
      </c>
      <c r="G65" s="67">
        <v>6149039.081155942</v>
      </c>
      <c r="H65" s="67">
        <v>4312257.123328643</v>
      </c>
      <c r="I65" s="67">
        <v>250089.11538544198</v>
      </c>
      <c r="J65" s="67">
        <v>10711385.319870027</v>
      </c>
      <c r="K65" s="67">
        <v>77835.93773615116</v>
      </c>
      <c r="L65" s="67">
        <v>54585.53320669168</v>
      </c>
      <c r="M65" s="67">
        <v>3165.6850048790125</v>
      </c>
      <c r="N65" s="67">
        <v>135587.15594772185</v>
      </c>
    </row>
    <row r="66" spans="1:14" ht="21">
      <c r="A66" s="149">
        <v>62</v>
      </c>
      <c r="B66" s="109" t="s">
        <v>50</v>
      </c>
      <c r="C66" s="109" t="s">
        <v>52</v>
      </c>
      <c r="D66" s="109" t="s">
        <v>55</v>
      </c>
      <c r="E66" s="66">
        <v>77</v>
      </c>
      <c r="F66" s="66">
        <v>57.42</v>
      </c>
      <c r="G66" s="67">
        <v>4754380.082774966</v>
      </c>
      <c r="H66" s="67">
        <v>3216499.8200147334</v>
      </c>
      <c r="I66" s="67">
        <v>338400.2219358145</v>
      </c>
      <c r="J66" s="67">
        <v>8309280.124725513</v>
      </c>
      <c r="K66" s="67">
        <v>61745.19588019436</v>
      </c>
      <c r="L66" s="67">
        <v>41772.72493525628</v>
      </c>
      <c r="M66" s="67">
        <v>4394.8080770885</v>
      </c>
      <c r="N66" s="67">
        <v>107912.72889253913</v>
      </c>
    </row>
    <row r="67" spans="1:14" ht="21">
      <c r="A67" s="149">
        <v>63</v>
      </c>
      <c r="B67" s="109" t="s">
        <v>122</v>
      </c>
      <c r="C67" s="109" t="s">
        <v>120</v>
      </c>
      <c r="D67" s="109" t="s">
        <v>351</v>
      </c>
      <c r="E67" s="66">
        <v>74</v>
      </c>
      <c r="F67" s="66">
        <v>59.72</v>
      </c>
      <c r="G67" s="67">
        <v>3447549.6520860307</v>
      </c>
      <c r="H67" s="67">
        <v>1642360.5050546683</v>
      </c>
      <c r="I67" s="67">
        <v>247289.7300625809</v>
      </c>
      <c r="J67" s="67">
        <v>5337199.88720328</v>
      </c>
      <c r="K67" s="67">
        <v>46588.508811973385</v>
      </c>
      <c r="L67" s="67">
        <v>22194.06087911714</v>
      </c>
      <c r="M67" s="67">
        <v>3341.753108953796</v>
      </c>
      <c r="N67" s="67">
        <v>72124.32280004432</v>
      </c>
    </row>
    <row r="68" spans="1:14" ht="21">
      <c r="A68" s="149">
        <v>64</v>
      </c>
      <c r="B68" s="109" t="s">
        <v>276</v>
      </c>
      <c r="C68" s="109" t="s">
        <v>97</v>
      </c>
      <c r="D68" s="109" t="s">
        <v>196</v>
      </c>
      <c r="E68" s="66">
        <v>73</v>
      </c>
      <c r="F68" s="66">
        <v>64.33</v>
      </c>
      <c r="G68" s="67">
        <v>6597896.706720688</v>
      </c>
      <c r="H68" s="67">
        <v>2223419.412415243</v>
      </c>
      <c r="I68" s="67">
        <v>146635.77444853264</v>
      </c>
      <c r="J68" s="67">
        <v>8967951.893584464</v>
      </c>
      <c r="K68" s="67">
        <v>90382.14666740669</v>
      </c>
      <c r="L68" s="67">
        <v>30457.800170071823</v>
      </c>
      <c r="M68" s="67">
        <v>2008.709239020995</v>
      </c>
      <c r="N68" s="67">
        <v>122848.65607649952</v>
      </c>
    </row>
    <row r="69" spans="1:14" ht="21">
      <c r="A69" s="149">
        <v>65</v>
      </c>
      <c r="B69" s="109" t="s">
        <v>80</v>
      </c>
      <c r="C69" s="109" t="s">
        <v>81</v>
      </c>
      <c r="D69" s="109" t="s">
        <v>312</v>
      </c>
      <c r="E69" s="66">
        <v>71</v>
      </c>
      <c r="F69" s="66">
        <v>71.03</v>
      </c>
      <c r="G69" s="67">
        <v>6296083.361493712</v>
      </c>
      <c r="H69" s="67">
        <v>4356697.350856763</v>
      </c>
      <c r="I69" s="67">
        <v>389707.071744198</v>
      </c>
      <c r="J69" s="67">
        <v>11042487.784094675</v>
      </c>
      <c r="K69" s="67">
        <v>88677.23044357341</v>
      </c>
      <c r="L69" s="67">
        <v>61361.934519109345</v>
      </c>
      <c r="M69" s="67">
        <v>5488.831996397154</v>
      </c>
      <c r="N69" s="67">
        <v>155527.9969590799</v>
      </c>
    </row>
    <row r="70" spans="1:14" ht="21">
      <c r="A70" s="149">
        <v>66</v>
      </c>
      <c r="B70" s="109" t="s">
        <v>57</v>
      </c>
      <c r="C70" s="109" t="s">
        <v>64</v>
      </c>
      <c r="D70" s="109" t="s">
        <v>330</v>
      </c>
      <c r="E70" s="66">
        <v>68</v>
      </c>
      <c r="F70" s="66">
        <v>34.94</v>
      </c>
      <c r="G70" s="67">
        <v>1751401.7403620412</v>
      </c>
      <c r="H70" s="67">
        <v>674844.2083340178</v>
      </c>
      <c r="I70" s="67">
        <v>80217.25185110961</v>
      </c>
      <c r="J70" s="67">
        <v>2506463.200547169</v>
      </c>
      <c r="K70" s="67">
        <v>25755.907946500607</v>
      </c>
      <c r="L70" s="67">
        <v>9924.17953432379</v>
      </c>
      <c r="M70" s="67">
        <v>1179.6654683986708</v>
      </c>
      <c r="N70" s="67">
        <v>36859.75294922307</v>
      </c>
    </row>
    <row r="71" spans="1:14" ht="21">
      <c r="A71" s="149">
        <v>67</v>
      </c>
      <c r="B71" s="109" t="s">
        <v>80</v>
      </c>
      <c r="C71" s="109" t="s">
        <v>97</v>
      </c>
      <c r="D71" s="109" t="s">
        <v>204</v>
      </c>
      <c r="E71" s="66">
        <v>67</v>
      </c>
      <c r="F71" s="66">
        <v>45.75</v>
      </c>
      <c r="G71" s="67">
        <v>4692270.703131844</v>
      </c>
      <c r="H71" s="67">
        <v>1581244.1802890932</v>
      </c>
      <c r="I71" s="67">
        <v>104283.95275952695</v>
      </c>
      <c r="J71" s="67">
        <v>6377798.836180464</v>
      </c>
      <c r="K71" s="67">
        <v>70033.89109152007</v>
      </c>
      <c r="L71" s="67">
        <v>23600.6594072999</v>
      </c>
      <c r="M71" s="67">
        <v>1556.476906858611</v>
      </c>
      <c r="N71" s="67">
        <v>95191.02740567859</v>
      </c>
    </row>
    <row r="72" spans="1:14" ht="21">
      <c r="A72" s="149">
        <v>68</v>
      </c>
      <c r="B72" s="109" t="s">
        <v>276</v>
      </c>
      <c r="C72" s="109" t="s">
        <v>97</v>
      </c>
      <c r="D72" s="109" t="s">
        <v>227</v>
      </c>
      <c r="E72" s="66">
        <v>66</v>
      </c>
      <c r="F72" s="66">
        <v>55.31</v>
      </c>
      <c r="G72" s="67">
        <v>5672775.794321799</v>
      </c>
      <c r="H72" s="67">
        <v>1911663.7292194483</v>
      </c>
      <c r="I72" s="67">
        <v>126075.3098826106</v>
      </c>
      <c r="J72" s="67">
        <v>7710514.8334238585</v>
      </c>
      <c r="K72" s="67">
        <v>85951.14839881513</v>
      </c>
      <c r="L72" s="67">
        <v>28964.60195787043</v>
      </c>
      <c r="M72" s="67">
        <v>1910.2319679183424</v>
      </c>
      <c r="N72" s="67">
        <v>116825.9823246039</v>
      </c>
    </row>
    <row r="73" spans="1:14" ht="21">
      <c r="A73" s="149">
        <v>69</v>
      </c>
      <c r="B73" s="109" t="s">
        <v>80</v>
      </c>
      <c r="C73" s="109" t="s">
        <v>97</v>
      </c>
      <c r="D73" s="109" t="s">
        <v>245</v>
      </c>
      <c r="E73" s="66">
        <v>66</v>
      </c>
      <c r="F73" s="66">
        <v>62.89</v>
      </c>
      <c r="G73" s="67">
        <v>6450205.56327785</v>
      </c>
      <c r="H73" s="67">
        <v>2173649.1037897505</v>
      </c>
      <c r="I73" s="67">
        <v>143353.39429610161</v>
      </c>
      <c r="J73" s="67">
        <v>8767208.061363703</v>
      </c>
      <c r="K73" s="67">
        <v>97730.38732239166</v>
      </c>
      <c r="L73" s="67">
        <v>32934.07733014773</v>
      </c>
      <c r="M73" s="67">
        <v>2172.0211256985094</v>
      </c>
      <c r="N73" s="67">
        <v>132836.4857782379</v>
      </c>
    </row>
    <row r="74" spans="1:14" ht="21">
      <c r="A74" s="149">
        <v>70</v>
      </c>
      <c r="B74" s="109" t="s">
        <v>50</v>
      </c>
      <c r="C74" s="109" t="s">
        <v>52</v>
      </c>
      <c r="D74" s="109" t="s">
        <v>53</v>
      </c>
      <c r="E74" s="66">
        <v>62</v>
      </c>
      <c r="F74" s="66">
        <v>50.47</v>
      </c>
      <c r="G74" s="67">
        <v>4178919.588604189</v>
      </c>
      <c r="H74" s="67">
        <v>2827181.224593235</v>
      </c>
      <c r="I74" s="67">
        <v>297440.9474242521</v>
      </c>
      <c r="J74" s="67">
        <v>7303541.760621677</v>
      </c>
      <c r="K74" s="67">
        <v>67401.92884845466</v>
      </c>
      <c r="L74" s="67">
        <v>45599.697170858635</v>
      </c>
      <c r="M74" s="67">
        <v>4797.4346358750345</v>
      </c>
      <c r="N74" s="67">
        <v>117799.06065518832</v>
      </c>
    </row>
    <row r="75" spans="1:14" ht="21">
      <c r="A75" s="149">
        <v>71</v>
      </c>
      <c r="B75" s="109" t="s">
        <v>99</v>
      </c>
      <c r="C75" s="109" t="s">
        <v>278</v>
      </c>
      <c r="D75" s="109" t="s">
        <v>241</v>
      </c>
      <c r="E75" s="66">
        <v>61</v>
      </c>
      <c r="F75" s="66">
        <v>45.86</v>
      </c>
      <c r="G75" s="67">
        <v>2503666.665266709</v>
      </c>
      <c r="H75" s="67">
        <v>932550.0919910042</v>
      </c>
      <c r="I75" s="67">
        <v>104534.69051514512</v>
      </c>
      <c r="J75" s="67">
        <v>3540751.447772858</v>
      </c>
      <c r="K75" s="67">
        <v>41043.71582404441</v>
      </c>
      <c r="L75" s="67">
        <v>15287.706426082035</v>
      </c>
      <c r="M75" s="67">
        <v>1713.6834510679528</v>
      </c>
      <c r="N75" s="67">
        <v>58045.1057011944</v>
      </c>
    </row>
    <row r="76" spans="1:14" ht="21">
      <c r="A76" s="149">
        <v>72</v>
      </c>
      <c r="B76" s="109" t="s">
        <v>50</v>
      </c>
      <c r="C76" s="109" t="s">
        <v>52</v>
      </c>
      <c r="D76" s="109" t="s">
        <v>151</v>
      </c>
      <c r="E76" s="66">
        <v>57</v>
      </c>
      <c r="F76" s="66">
        <v>48.08</v>
      </c>
      <c r="G76" s="67">
        <v>3981027.4186663246</v>
      </c>
      <c r="H76" s="67">
        <v>2693300.4414195116</v>
      </c>
      <c r="I76" s="67">
        <v>283355.6717289091</v>
      </c>
      <c r="J76" s="67">
        <v>6957683.531814745</v>
      </c>
      <c r="K76" s="67">
        <v>69842.5862923917</v>
      </c>
      <c r="L76" s="67">
        <v>47250.88493718441</v>
      </c>
      <c r="M76" s="67">
        <v>4971.152135594896</v>
      </c>
      <c r="N76" s="67">
        <v>122064.62336517096</v>
      </c>
    </row>
    <row r="77" spans="1:14" ht="21">
      <c r="A77" s="149">
        <v>73</v>
      </c>
      <c r="B77" s="109" t="s">
        <v>50</v>
      </c>
      <c r="C77" s="109" t="s">
        <v>52</v>
      </c>
      <c r="D77" s="109" t="s">
        <v>54</v>
      </c>
      <c r="E77" s="66">
        <v>56</v>
      </c>
      <c r="F77" s="66">
        <v>47.76</v>
      </c>
      <c r="G77" s="67">
        <v>3954531.3959131376</v>
      </c>
      <c r="H77" s="67">
        <v>2675374.980910896</v>
      </c>
      <c r="I77" s="67">
        <v>281469.7770751393</v>
      </c>
      <c r="J77" s="67">
        <v>6911376.153899172</v>
      </c>
      <c r="K77" s="67">
        <v>70616.63206987745</v>
      </c>
      <c r="L77" s="67">
        <v>47774.55323055171</v>
      </c>
      <c r="M77" s="67">
        <v>5026.246019198916</v>
      </c>
      <c r="N77" s="67">
        <v>123417.43131962809</v>
      </c>
    </row>
    <row r="78" spans="1:14" ht="21">
      <c r="A78" s="149">
        <v>74</v>
      </c>
      <c r="B78" s="109" t="s">
        <v>99</v>
      </c>
      <c r="C78" s="109" t="s">
        <v>278</v>
      </c>
      <c r="D78" s="109" t="s">
        <v>228</v>
      </c>
      <c r="E78" s="66">
        <v>55</v>
      </c>
      <c r="F78" s="66">
        <v>47.67</v>
      </c>
      <c r="G78" s="67">
        <v>2602481.245819102</v>
      </c>
      <c r="H78" s="67">
        <v>969355.9285916085</v>
      </c>
      <c r="I78" s="67">
        <v>108660.46002740882</v>
      </c>
      <c r="J78" s="67">
        <v>3680497.6344381194</v>
      </c>
      <c r="K78" s="67">
        <v>47317.84083307458</v>
      </c>
      <c r="L78" s="67">
        <v>17624.653247120154</v>
      </c>
      <c r="M78" s="67">
        <v>1975.6447277710693</v>
      </c>
      <c r="N78" s="67">
        <v>66918.1388079658</v>
      </c>
    </row>
    <row r="79" spans="1:14" ht="21">
      <c r="A79" s="149">
        <v>75</v>
      </c>
      <c r="B79" s="109" t="s">
        <v>99</v>
      </c>
      <c r="C79" s="109" t="s">
        <v>103</v>
      </c>
      <c r="D79" s="109" t="s">
        <v>347</v>
      </c>
      <c r="E79" s="66">
        <v>52</v>
      </c>
      <c r="F79" s="66">
        <v>38</v>
      </c>
      <c r="G79" s="67">
        <v>1674936.0431691234</v>
      </c>
      <c r="H79" s="67">
        <v>1266037.0729769513</v>
      </c>
      <c r="I79" s="67">
        <v>274588.62879958056</v>
      </c>
      <c r="J79" s="67">
        <v>3215561.744945655</v>
      </c>
      <c r="K79" s="67">
        <v>32210.30852248314</v>
      </c>
      <c r="L79" s="67">
        <v>24346.866788018295</v>
      </c>
      <c r="M79" s="67">
        <v>5280.550553838088</v>
      </c>
      <c r="N79" s="67">
        <v>61837.725864339525</v>
      </c>
    </row>
    <row r="80" spans="1:14" ht="21">
      <c r="A80" s="149">
        <v>76</v>
      </c>
      <c r="B80" s="109" t="s">
        <v>70</v>
      </c>
      <c r="C80" s="109" t="s">
        <v>75</v>
      </c>
      <c r="D80" s="109" t="s">
        <v>357</v>
      </c>
      <c r="E80" s="66">
        <v>50</v>
      </c>
      <c r="F80" s="66">
        <v>26.39</v>
      </c>
      <c r="G80" s="67">
        <v>1348935.7146683591</v>
      </c>
      <c r="H80" s="67">
        <v>806405.5636269344</v>
      </c>
      <c r="I80" s="67">
        <v>107371.38616032813</v>
      </c>
      <c r="J80" s="67">
        <v>2262712.6644556215</v>
      </c>
      <c r="K80" s="67">
        <v>26978.714293367182</v>
      </c>
      <c r="L80" s="67">
        <v>16128.111272538688</v>
      </c>
      <c r="M80" s="67">
        <v>2147.4277232065624</v>
      </c>
      <c r="N80" s="67">
        <v>45254.253289112436</v>
      </c>
    </row>
    <row r="81" spans="1:14" ht="21">
      <c r="A81" s="149">
        <v>77</v>
      </c>
      <c r="B81" s="109" t="s">
        <v>93</v>
      </c>
      <c r="C81" s="109" t="s">
        <v>52</v>
      </c>
      <c r="D81" s="109" t="s">
        <v>186</v>
      </c>
      <c r="E81" s="66">
        <v>46</v>
      </c>
      <c r="F81" s="66">
        <v>35.89</v>
      </c>
      <c r="G81" s="67">
        <v>2971694.551912113</v>
      </c>
      <c r="H81" s="67">
        <v>2010452.4301694317</v>
      </c>
      <c r="I81" s="67">
        <v>211514.87226186664</v>
      </c>
      <c r="J81" s="67">
        <v>5193661.8543434115</v>
      </c>
      <c r="K81" s="67">
        <v>64602.05547635029</v>
      </c>
      <c r="L81" s="67">
        <v>43705.48761237895</v>
      </c>
      <c r="M81" s="67">
        <v>4598.149396997101</v>
      </c>
      <c r="N81" s="67">
        <v>112905.69248572634</v>
      </c>
    </row>
    <row r="82" spans="1:14" ht="21">
      <c r="A82" s="149">
        <v>78</v>
      </c>
      <c r="B82" s="109" t="s">
        <v>83</v>
      </c>
      <c r="C82" s="109" t="s">
        <v>81</v>
      </c>
      <c r="D82" s="109" t="s">
        <v>79</v>
      </c>
      <c r="E82" s="66">
        <v>41</v>
      </c>
      <c r="F82" s="66">
        <v>24</v>
      </c>
      <c r="G82" s="67">
        <v>2127354.648399959</v>
      </c>
      <c r="H82" s="67">
        <v>1472064.4294039465</v>
      </c>
      <c r="I82" s="67">
        <v>131676.33002760453</v>
      </c>
      <c r="J82" s="67">
        <v>3731095.4078315096</v>
      </c>
      <c r="K82" s="67">
        <v>51886.69874146241</v>
      </c>
      <c r="L82" s="67">
        <v>35904.010473266986</v>
      </c>
      <c r="M82" s="67">
        <v>3211.61780555133</v>
      </c>
      <c r="N82" s="67">
        <v>91002.32702028073</v>
      </c>
    </row>
    <row r="83" spans="1:14" ht="21">
      <c r="A83" s="149">
        <v>79</v>
      </c>
      <c r="B83" s="109" t="s">
        <v>99</v>
      </c>
      <c r="C83" s="109" t="s">
        <v>225</v>
      </c>
      <c r="D83" s="109" t="s">
        <v>313</v>
      </c>
      <c r="E83" s="66">
        <v>37</v>
      </c>
      <c r="F83" s="66">
        <v>16.17</v>
      </c>
      <c r="G83" s="67">
        <v>882779.9820619862</v>
      </c>
      <c r="H83" s="67">
        <v>328812.3634429686</v>
      </c>
      <c r="I83" s="67">
        <v>36858.39393000211</v>
      </c>
      <c r="J83" s="67">
        <v>1248450.739434957</v>
      </c>
      <c r="K83" s="67">
        <v>23858.918434107734</v>
      </c>
      <c r="L83" s="67">
        <v>8886.820633593745</v>
      </c>
      <c r="M83" s="67">
        <v>996.1728089189759</v>
      </c>
      <c r="N83" s="67">
        <v>33741.911876620456</v>
      </c>
    </row>
    <row r="84" spans="1:14" ht="21">
      <c r="A84" s="149">
        <v>80</v>
      </c>
      <c r="B84" s="109" t="s">
        <v>62</v>
      </c>
      <c r="C84" s="109" t="s">
        <v>52</v>
      </c>
      <c r="D84" s="109" t="s">
        <v>319</v>
      </c>
      <c r="E84" s="66">
        <v>36</v>
      </c>
      <c r="F84" s="66">
        <v>21.89</v>
      </c>
      <c r="G84" s="67">
        <v>1812493.556460188</v>
      </c>
      <c r="H84" s="67">
        <v>1226213.532917494</v>
      </c>
      <c r="I84" s="67">
        <v>129006.98115943884</v>
      </c>
      <c r="J84" s="67">
        <v>3167714.0705371206</v>
      </c>
      <c r="K84" s="67">
        <v>50347.04323500522</v>
      </c>
      <c r="L84" s="67">
        <v>34061.48702548594</v>
      </c>
      <c r="M84" s="67">
        <v>3583.527254428857</v>
      </c>
      <c r="N84" s="67">
        <v>87992.05751492002</v>
      </c>
    </row>
    <row r="85" spans="1:14" ht="21">
      <c r="A85" s="149">
        <v>81</v>
      </c>
      <c r="B85" s="109" t="s">
        <v>206</v>
      </c>
      <c r="C85" s="109" t="s">
        <v>116</v>
      </c>
      <c r="D85" s="109" t="s">
        <v>314</v>
      </c>
      <c r="E85" s="66">
        <v>34</v>
      </c>
      <c r="F85" s="66">
        <v>17.86</v>
      </c>
      <c r="G85" s="67">
        <v>939661.5601935174</v>
      </c>
      <c r="H85" s="67">
        <v>669277.9551849617</v>
      </c>
      <c r="I85" s="67">
        <v>74851.76326271343</v>
      </c>
      <c r="J85" s="67">
        <v>1683791.2786411922</v>
      </c>
      <c r="K85" s="67">
        <v>27637.10471157404</v>
      </c>
      <c r="L85" s="67">
        <v>19684.645740734166</v>
      </c>
      <c r="M85" s="67">
        <v>2201.522448903336</v>
      </c>
      <c r="N85" s="67">
        <v>49523.27290121154</v>
      </c>
    </row>
    <row r="86" spans="1:14" ht="21">
      <c r="A86" s="149">
        <v>82</v>
      </c>
      <c r="B86" s="109" t="s">
        <v>50</v>
      </c>
      <c r="C86" s="109" t="s">
        <v>52</v>
      </c>
      <c r="D86" s="109" t="s">
        <v>51</v>
      </c>
      <c r="E86" s="66">
        <v>32</v>
      </c>
      <c r="F86" s="66">
        <v>22.63</v>
      </c>
      <c r="G86" s="67">
        <v>1873765.6090769325</v>
      </c>
      <c r="H86" s="67">
        <v>1267666.1603436677</v>
      </c>
      <c r="I86" s="67">
        <v>133368.11254628145</v>
      </c>
      <c r="J86" s="67">
        <v>3274799.881966882</v>
      </c>
      <c r="K86" s="67">
        <v>58555.1752836541</v>
      </c>
      <c r="L86" s="67">
        <v>39614.56751073962</v>
      </c>
      <c r="M86" s="67">
        <v>4167.753517071295</v>
      </c>
      <c r="N86" s="67">
        <v>102337.49631146506</v>
      </c>
    </row>
    <row r="87" spans="1:14" ht="21">
      <c r="A87" s="149">
        <v>83</v>
      </c>
      <c r="B87" s="109" t="s">
        <v>80</v>
      </c>
      <c r="C87" s="109" t="s">
        <v>88</v>
      </c>
      <c r="D87" s="109" t="s">
        <v>338</v>
      </c>
      <c r="E87" s="66">
        <v>32</v>
      </c>
      <c r="F87" s="66">
        <v>27.47</v>
      </c>
      <c r="G87" s="67">
        <v>2370839.7705920218</v>
      </c>
      <c r="H87" s="67">
        <v>756084.9012586493</v>
      </c>
      <c r="I87" s="67">
        <v>75049.17040141021</v>
      </c>
      <c r="J87" s="67">
        <v>3201973.8422520813</v>
      </c>
      <c r="K87" s="67">
        <v>74088.74283100068</v>
      </c>
      <c r="L87" s="67">
        <v>23627.65316433279</v>
      </c>
      <c r="M87" s="67">
        <v>2345.286575044069</v>
      </c>
      <c r="N87" s="67">
        <v>100061.68257037754</v>
      </c>
    </row>
    <row r="88" spans="1:14" ht="21">
      <c r="A88" s="149">
        <v>84</v>
      </c>
      <c r="B88" s="109" t="s">
        <v>80</v>
      </c>
      <c r="C88" s="109" t="s">
        <v>88</v>
      </c>
      <c r="D88" s="109" t="s">
        <v>195</v>
      </c>
      <c r="E88" s="66">
        <v>32</v>
      </c>
      <c r="F88" s="66">
        <v>28.14</v>
      </c>
      <c r="G88" s="67">
        <v>2428665.130850364</v>
      </c>
      <c r="H88" s="67">
        <v>774525.9964112993</v>
      </c>
      <c r="I88" s="67">
        <v>76879.63797217631</v>
      </c>
      <c r="J88" s="67">
        <v>3280070.76523384</v>
      </c>
      <c r="K88" s="67">
        <v>75895.78533907387</v>
      </c>
      <c r="L88" s="67">
        <v>24203.937387853104</v>
      </c>
      <c r="M88" s="67">
        <v>2402.4886866305096</v>
      </c>
      <c r="N88" s="67">
        <v>102502.2114135575</v>
      </c>
    </row>
    <row r="89" spans="1:14" ht="21">
      <c r="A89" s="149">
        <v>85</v>
      </c>
      <c r="B89" s="109" t="s">
        <v>206</v>
      </c>
      <c r="C89" s="109" t="s">
        <v>116</v>
      </c>
      <c r="D89" s="109" t="s">
        <v>315</v>
      </c>
      <c r="E89" s="66">
        <v>31</v>
      </c>
      <c r="F89" s="66">
        <v>17.22</v>
      </c>
      <c r="G89" s="67">
        <v>905989.4774094272</v>
      </c>
      <c r="H89" s="67">
        <v>645294.8705646719</v>
      </c>
      <c r="I89" s="67">
        <v>72169.50522866321</v>
      </c>
      <c r="J89" s="67">
        <v>1623453.8532027625</v>
      </c>
      <c r="K89" s="67">
        <v>29225.46701320733</v>
      </c>
      <c r="L89" s="67">
        <v>20815.96356660232</v>
      </c>
      <c r="M89" s="67">
        <v>2328.0485557633297</v>
      </c>
      <c r="N89" s="67">
        <v>52369.479135572976</v>
      </c>
    </row>
    <row r="90" spans="1:14" ht="21">
      <c r="A90" s="149">
        <v>86</v>
      </c>
      <c r="B90" s="109" t="s">
        <v>80</v>
      </c>
      <c r="C90" s="109" t="s">
        <v>85</v>
      </c>
      <c r="D90" s="109" t="s">
        <v>334</v>
      </c>
      <c r="E90" s="66">
        <v>31</v>
      </c>
      <c r="F90" s="66">
        <v>27.97</v>
      </c>
      <c r="G90" s="67">
        <v>1607285.9812827965</v>
      </c>
      <c r="H90" s="67">
        <v>952871.6864966917</v>
      </c>
      <c r="I90" s="67">
        <v>77774.35081127734</v>
      </c>
      <c r="J90" s="67">
        <v>2637932.0185907655</v>
      </c>
      <c r="K90" s="67">
        <v>51847.93488009021</v>
      </c>
      <c r="L90" s="67">
        <v>30737.796338602955</v>
      </c>
      <c r="M90" s="67">
        <v>2508.850026170237</v>
      </c>
      <c r="N90" s="67">
        <v>85094.58124486341</v>
      </c>
    </row>
    <row r="91" spans="1:14" ht="21">
      <c r="A91" s="149">
        <v>87</v>
      </c>
      <c r="B91" s="109" t="s">
        <v>206</v>
      </c>
      <c r="C91" s="109" t="s">
        <v>116</v>
      </c>
      <c r="D91" s="109" t="s">
        <v>316</v>
      </c>
      <c r="E91" s="66">
        <v>29</v>
      </c>
      <c r="F91" s="66">
        <v>16.11</v>
      </c>
      <c r="G91" s="67">
        <v>847589.4588307707</v>
      </c>
      <c r="H91" s="67">
        <v>603699.2081763569</v>
      </c>
      <c r="I91" s="67">
        <v>67517.4639508574</v>
      </c>
      <c r="J91" s="67">
        <v>1518806.1309579848</v>
      </c>
      <c r="K91" s="67">
        <v>29227.222718302437</v>
      </c>
      <c r="L91" s="67">
        <v>20817.214075046788</v>
      </c>
      <c r="M91" s="67">
        <v>2328.188412098531</v>
      </c>
      <c r="N91" s="67">
        <v>52372.62520544776</v>
      </c>
    </row>
    <row r="92" spans="1:14" ht="21">
      <c r="A92" s="149">
        <v>88</v>
      </c>
      <c r="B92" s="109" t="s">
        <v>70</v>
      </c>
      <c r="C92" s="109" t="s">
        <v>88</v>
      </c>
      <c r="D92" s="109" t="s">
        <v>355</v>
      </c>
      <c r="E92" s="66">
        <v>29</v>
      </c>
      <c r="F92" s="66">
        <v>2.42</v>
      </c>
      <c r="G92" s="67">
        <v>208861.7489928174</v>
      </c>
      <c r="H92" s="67">
        <v>66608.1347304671</v>
      </c>
      <c r="I92" s="67">
        <v>6611.539583961147</v>
      </c>
      <c r="J92" s="67">
        <v>282081.4233072456</v>
      </c>
      <c r="K92" s="67">
        <v>7202.129275614393</v>
      </c>
      <c r="L92" s="67">
        <v>2296.8322320850725</v>
      </c>
      <c r="M92" s="67">
        <v>227.98412358486715</v>
      </c>
      <c r="N92" s="67">
        <v>9726.945631284332</v>
      </c>
    </row>
    <row r="93" spans="1:14" ht="21">
      <c r="A93" s="149">
        <v>89</v>
      </c>
      <c r="B93" s="109" t="s">
        <v>93</v>
      </c>
      <c r="C93" s="109" t="s">
        <v>52</v>
      </c>
      <c r="D93" s="109" t="s">
        <v>187</v>
      </c>
      <c r="E93" s="66">
        <v>29</v>
      </c>
      <c r="F93" s="66">
        <v>23.25</v>
      </c>
      <c r="G93" s="67">
        <v>1925101.6531612321</v>
      </c>
      <c r="H93" s="67">
        <v>1302396.7400791107</v>
      </c>
      <c r="I93" s="67">
        <v>137022.0334379604</v>
      </c>
      <c r="J93" s="67">
        <v>3364520.426678303</v>
      </c>
      <c r="K93" s="67">
        <v>66382.81562624939</v>
      </c>
      <c r="L93" s="67">
        <v>44910.23241652106</v>
      </c>
      <c r="M93" s="67">
        <v>4724.897704757255</v>
      </c>
      <c r="N93" s="67">
        <v>116017.9457475277</v>
      </c>
    </row>
    <row r="94" spans="1:14" ht="21">
      <c r="A94" s="149">
        <v>90</v>
      </c>
      <c r="B94" s="109" t="s">
        <v>57</v>
      </c>
      <c r="C94" s="109" t="s">
        <v>114</v>
      </c>
      <c r="D94" s="109" t="s">
        <v>242</v>
      </c>
      <c r="E94" s="66">
        <v>27</v>
      </c>
      <c r="F94" s="66">
        <v>16.08</v>
      </c>
      <c r="G94" s="67">
        <v>1666552.3078541637</v>
      </c>
      <c r="H94" s="67">
        <v>1168735.7920634511</v>
      </c>
      <c r="I94" s="67">
        <v>67780.76816783931</v>
      </c>
      <c r="J94" s="67">
        <v>2903068.868085454</v>
      </c>
      <c r="K94" s="67">
        <v>61724.15955015421</v>
      </c>
      <c r="L94" s="67">
        <v>43286.51081716485</v>
      </c>
      <c r="M94" s="67">
        <v>2510.398821031086</v>
      </c>
      <c r="N94" s="67">
        <v>107521.06918835016</v>
      </c>
    </row>
    <row r="95" spans="1:14" ht="21">
      <c r="A95" s="149">
        <v>91</v>
      </c>
      <c r="B95" s="109" t="s">
        <v>57</v>
      </c>
      <c r="C95" s="109" t="s">
        <v>64</v>
      </c>
      <c r="D95" s="109" t="s">
        <v>170</v>
      </c>
      <c r="E95" s="66">
        <v>26</v>
      </c>
      <c r="F95" s="66">
        <v>5.19</v>
      </c>
      <c r="G95" s="67">
        <v>260153.83607552934</v>
      </c>
      <c r="H95" s="67">
        <v>100241.59820416578</v>
      </c>
      <c r="I95" s="67">
        <v>11915.49905859356</v>
      </c>
      <c r="J95" s="67">
        <v>372310.9333382887</v>
      </c>
      <c r="K95" s="67">
        <v>10005.916772135744</v>
      </c>
      <c r="L95" s="67">
        <v>3855.4460847756072</v>
      </c>
      <c r="M95" s="67">
        <v>458.28842533052153</v>
      </c>
      <c r="N95" s="67">
        <v>14319.651282241874</v>
      </c>
    </row>
    <row r="96" spans="1:14" ht="21">
      <c r="A96" s="149">
        <v>92</v>
      </c>
      <c r="B96" s="109" t="s">
        <v>57</v>
      </c>
      <c r="C96" s="109" t="s">
        <v>64</v>
      </c>
      <c r="D96" s="109" t="s">
        <v>324</v>
      </c>
      <c r="E96" s="66">
        <v>25</v>
      </c>
      <c r="F96" s="66">
        <v>24.25</v>
      </c>
      <c r="G96" s="67">
        <v>1215555.0144184174</v>
      </c>
      <c r="H96" s="67">
        <v>468373.5561562659</v>
      </c>
      <c r="I96" s="67">
        <v>55674.5379905383</v>
      </c>
      <c r="J96" s="67">
        <v>1739603.1085652215</v>
      </c>
      <c r="K96" s="67">
        <v>48622.20057673669</v>
      </c>
      <c r="L96" s="67">
        <v>18734.942246250637</v>
      </c>
      <c r="M96" s="67">
        <v>2226.9815196215322</v>
      </c>
      <c r="N96" s="67">
        <v>69584.12434260886</v>
      </c>
    </row>
    <row r="97" spans="1:14" ht="21">
      <c r="A97" s="149">
        <v>93</v>
      </c>
      <c r="B97" s="109" t="s">
        <v>132</v>
      </c>
      <c r="C97" s="109" t="s">
        <v>103</v>
      </c>
      <c r="D97" s="109" t="s">
        <v>250</v>
      </c>
      <c r="E97" s="66">
        <v>25</v>
      </c>
      <c r="F97" s="66">
        <v>19.77</v>
      </c>
      <c r="G97" s="67">
        <v>871407.5250908834</v>
      </c>
      <c r="H97" s="67">
        <v>658672.4655987981</v>
      </c>
      <c r="I97" s="67">
        <v>142858.35714125546</v>
      </c>
      <c r="J97" s="67">
        <v>1672938.3478309368</v>
      </c>
      <c r="K97" s="67">
        <v>34856.30100363534</v>
      </c>
      <c r="L97" s="67">
        <v>26346.898623951925</v>
      </c>
      <c r="M97" s="67">
        <v>5714.334285650219</v>
      </c>
      <c r="N97" s="67">
        <v>66917.53391323748</v>
      </c>
    </row>
    <row r="98" spans="1:14" ht="21">
      <c r="A98" s="149">
        <v>94</v>
      </c>
      <c r="B98" s="109" t="s">
        <v>276</v>
      </c>
      <c r="C98" s="109" t="s">
        <v>278</v>
      </c>
      <c r="D98" s="109" t="s">
        <v>154</v>
      </c>
      <c r="E98" s="66">
        <v>24</v>
      </c>
      <c r="F98" s="66">
        <v>2.67</v>
      </c>
      <c r="G98" s="67">
        <v>145765.1547375079</v>
      </c>
      <c r="H98" s="67">
        <v>54293.692664979964</v>
      </c>
      <c r="I98" s="67">
        <v>6086.079888256378</v>
      </c>
      <c r="J98" s="67">
        <v>206144.92729074424</v>
      </c>
      <c r="K98" s="67">
        <v>6073.548114062829</v>
      </c>
      <c r="L98" s="67">
        <v>2262.237194374165</v>
      </c>
      <c r="M98" s="67">
        <v>253.5866620106824</v>
      </c>
      <c r="N98" s="67">
        <v>8589.371970447677</v>
      </c>
    </row>
    <row r="99" spans="1:14" ht="21">
      <c r="A99" s="149">
        <v>95</v>
      </c>
      <c r="B99" s="109" t="s">
        <v>70</v>
      </c>
      <c r="C99" s="109" t="s">
        <v>72</v>
      </c>
      <c r="D99" s="109" t="s">
        <v>353</v>
      </c>
      <c r="E99" s="66">
        <v>23</v>
      </c>
      <c r="F99" s="66">
        <v>16.39</v>
      </c>
      <c r="G99" s="67">
        <v>1159210.4225319738</v>
      </c>
      <c r="H99" s="67">
        <v>322479.9978608455</v>
      </c>
      <c r="I99" s="67">
        <v>37359.86880773316</v>
      </c>
      <c r="J99" s="67">
        <v>1519050.2892005523</v>
      </c>
      <c r="K99" s="67">
        <v>50400.45315356408</v>
      </c>
      <c r="L99" s="67">
        <v>14020.869472210676</v>
      </c>
      <c r="M99" s="67">
        <v>1624.3421220753548</v>
      </c>
      <c r="N99" s="67">
        <v>66045.66474785011</v>
      </c>
    </row>
    <row r="100" spans="1:14" ht="21">
      <c r="A100" s="149">
        <v>96</v>
      </c>
      <c r="B100" s="109" t="s">
        <v>57</v>
      </c>
      <c r="C100" s="109" t="s">
        <v>64</v>
      </c>
      <c r="D100" s="109" t="s">
        <v>327</v>
      </c>
      <c r="E100" s="66">
        <v>18</v>
      </c>
      <c r="F100" s="66">
        <v>13.25</v>
      </c>
      <c r="G100" s="67">
        <v>664169.2346822281</v>
      </c>
      <c r="H100" s="67">
        <v>255915.44820909377</v>
      </c>
      <c r="I100" s="67">
        <v>30420.108386582782</v>
      </c>
      <c r="J100" s="67">
        <v>950504.7912779046</v>
      </c>
      <c r="K100" s="67">
        <v>36898.290815679335</v>
      </c>
      <c r="L100" s="67">
        <v>14217.52490050521</v>
      </c>
      <c r="M100" s="67">
        <v>1690.0060214768212</v>
      </c>
      <c r="N100" s="67">
        <v>52805.82173766137</v>
      </c>
    </row>
    <row r="101" spans="1:14" ht="21">
      <c r="A101" s="149">
        <v>97</v>
      </c>
      <c r="B101" s="109" t="s">
        <v>70</v>
      </c>
      <c r="C101" s="109" t="s">
        <v>72</v>
      </c>
      <c r="D101" s="109" t="s">
        <v>352</v>
      </c>
      <c r="E101" s="66">
        <v>18</v>
      </c>
      <c r="F101" s="66">
        <v>2.25</v>
      </c>
      <c r="G101" s="67">
        <v>159135.04885277248</v>
      </c>
      <c r="H101" s="67">
        <v>44269.67633843212</v>
      </c>
      <c r="I101" s="67">
        <v>5128.719024856597</v>
      </c>
      <c r="J101" s="67">
        <v>208533.4442160612</v>
      </c>
      <c r="K101" s="67">
        <v>8840.83604737625</v>
      </c>
      <c r="L101" s="67">
        <v>2459.4264632462286</v>
      </c>
      <c r="M101" s="67">
        <v>284.92883471425534</v>
      </c>
      <c r="N101" s="67">
        <v>11585.191345336734</v>
      </c>
    </row>
    <row r="102" spans="1:14" ht="21">
      <c r="A102" s="149">
        <v>98</v>
      </c>
      <c r="B102" s="109" t="s">
        <v>126</v>
      </c>
      <c r="C102" s="109" t="s">
        <v>127</v>
      </c>
      <c r="D102" s="109" t="s">
        <v>363</v>
      </c>
      <c r="E102" s="66">
        <v>18</v>
      </c>
      <c r="F102" s="66">
        <v>11.44</v>
      </c>
      <c r="G102" s="67">
        <v>391457.5043221676</v>
      </c>
      <c r="H102" s="67">
        <v>282196.1122568159</v>
      </c>
      <c r="I102" s="67">
        <v>38245.9349327342</v>
      </c>
      <c r="J102" s="67">
        <v>711899.5515117177</v>
      </c>
      <c r="K102" s="67">
        <v>21747.639129009312</v>
      </c>
      <c r="L102" s="67">
        <v>15677.561792045328</v>
      </c>
      <c r="M102" s="67">
        <v>2124.774162929678</v>
      </c>
      <c r="N102" s="67">
        <v>39549.97508398432</v>
      </c>
    </row>
    <row r="103" spans="1:14" ht="21">
      <c r="A103" s="149">
        <v>99</v>
      </c>
      <c r="B103" s="109" t="s">
        <v>80</v>
      </c>
      <c r="C103" s="109" t="s">
        <v>88</v>
      </c>
      <c r="D103" s="109" t="s">
        <v>337</v>
      </c>
      <c r="E103" s="66">
        <v>16</v>
      </c>
      <c r="F103" s="66">
        <v>12.75</v>
      </c>
      <c r="G103" s="67">
        <v>1100407.9750654635</v>
      </c>
      <c r="H103" s="67">
        <v>350931.2883526676</v>
      </c>
      <c r="I103" s="67">
        <v>34833.5246675639</v>
      </c>
      <c r="J103" s="67">
        <v>1486172.788085695</v>
      </c>
      <c r="K103" s="67">
        <v>68775.49844159147</v>
      </c>
      <c r="L103" s="67">
        <v>21933.205522041724</v>
      </c>
      <c r="M103" s="67">
        <v>2177.0952917227437</v>
      </c>
      <c r="N103" s="67">
        <v>92885.79925535593</v>
      </c>
    </row>
    <row r="104" spans="1:14" ht="21">
      <c r="A104" s="149">
        <v>100</v>
      </c>
      <c r="B104" s="109" t="s">
        <v>276</v>
      </c>
      <c r="C104" s="109" t="s">
        <v>97</v>
      </c>
      <c r="D104" s="109" t="s">
        <v>201</v>
      </c>
      <c r="E104" s="66">
        <v>15</v>
      </c>
      <c r="F104" s="66">
        <v>16.11</v>
      </c>
      <c r="G104" s="67">
        <v>1652294.667266754</v>
      </c>
      <c r="H104" s="67">
        <v>556805.3277477004</v>
      </c>
      <c r="I104" s="67">
        <v>36721.62795532195</v>
      </c>
      <c r="J104" s="67">
        <v>2245821.6229697764</v>
      </c>
      <c r="K104" s="67">
        <v>110152.9778177836</v>
      </c>
      <c r="L104" s="67">
        <v>37120.35518318003</v>
      </c>
      <c r="M104" s="67">
        <v>2448.1085303547966</v>
      </c>
      <c r="N104" s="67">
        <v>149721.4415313184</v>
      </c>
    </row>
    <row r="105" spans="1:14" ht="21">
      <c r="A105" s="149">
        <v>101</v>
      </c>
      <c r="B105" s="109" t="s">
        <v>276</v>
      </c>
      <c r="C105" s="109" t="s">
        <v>97</v>
      </c>
      <c r="D105" s="109" t="s">
        <v>199</v>
      </c>
      <c r="E105" s="66">
        <v>13</v>
      </c>
      <c r="F105" s="66">
        <v>4.58</v>
      </c>
      <c r="G105" s="67">
        <v>469739.8867834721</v>
      </c>
      <c r="H105" s="67">
        <v>158297.2316005256</v>
      </c>
      <c r="I105" s="67">
        <v>10439.792429259747</v>
      </c>
      <c r="J105" s="67">
        <v>638476.9108132574</v>
      </c>
      <c r="K105" s="67">
        <v>36133.83744488247</v>
      </c>
      <c r="L105" s="67">
        <v>12176.710123117355</v>
      </c>
      <c r="M105" s="67">
        <v>803.0609560969036</v>
      </c>
      <c r="N105" s="67">
        <v>49113.60852409672</v>
      </c>
    </row>
    <row r="106" spans="1:14" ht="21">
      <c r="A106" s="149">
        <v>102</v>
      </c>
      <c r="B106" s="109" t="s">
        <v>276</v>
      </c>
      <c r="C106" s="109" t="s">
        <v>97</v>
      </c>
      <c r="D106" s="109" t="s">
        <v>200</v>
      </c>
      <c r="E106" s="66">
        <v>12</v>
      </c>
      <c r="F106" s="66">
        <v>1.92</v>
      </c>
      <c r="G106" s="67">
        <v>196921.52459045112</v>
      </c>
      <c r="H106" s="67">
        <v>66360.41150065702</v>
      </c>
      <c r="I106" s="67">
        <v>4376.506869908016</v>
      </c>
      <c r="J106" s="67">
        <v>267658.44296101615</v>
      </c>
      <c r="K106" s="67">
        <v>16410.12704920426</v>
      </c>
      <c r="L106" s="67">
        <v>5530.034291721418</v>
      </c>
      <c r="M106" s="67">
        <v>364.70890582566796</v>
      </c>
      <c r="N106" s="67">
        <v>22304.870246751347</v>
      </c>
    </row>
    <row r="107" spans="1:14" ht="21">
      <c r="A107" s="149">
        <v>103</v>
      </c>
      <c r="B107" s="109" t="s">
        <v>57</v>
      </c>
      <c r="C107" s="109" t="s">
        <v>64</v>
      </c>
      <c r="D107" s="109" t="s">
        <v>242</v>
      </c>
      <c r="E107" s="66">
        <v>11</v>
      </c>
      <c r="F107" s="66">
        <v>4.25</v>
      </c>
      <c r="G107" s="67">
        <v>213035.41489807316</v>
      </c>
      <c r="H107" s="67">
        <v>82086.08716140743</v>
      </c>
      <c r="I107" s="67">
        <v>9757.393256073723</v>
      </c>
      <c r="J107" s="67">
        <v>304878.8953155543</v>
      </c>
      <c r="K107" s="67">
        <v>19366.855899824834</v>
      </c>
      <c r="L107" s="67">
        <v>7462.371560127948</v>
      </c>
      <c r="M107" s="67">
        <v>887.0357505521566</v>
      </c>
      <c r="N107" s="67">
        <v>27716.263210504938</v>
      </c>
    </row>
    <row r="108" spans="1:14" ht="21">
      <c r="A108" s="149">
        <v>104</v>
      </c>
      <c r="B108" s="109" t="s">
        <v>93</v>
      </c>
      <c r="C108" s="109" t="s">
        <v>52</v>
      </c>
      <c r="D108" s="109" t="s">
        <v>247</v>
      </c>
      <c r="E108" s="66">
        <v>11</v>
      </c>
      <c r="F108" s="66">
        <v>2.58</v>
      </c>
      <c r="G108" s="67">
        <v>213624.183447569</v>
      </c>
      <c r="H108" s="67">
        <v>144524.02535071422</v>
      </c>
      <c r="I108" s="67">
        <v>15205.025646018832</v>
      </c>
      <c r="J108" s="67">
        <v>373353.2344443021</v>
      </c>
      <c r="K108" s="67">
        <v>19420.380313415364</v>
      </c>
      <c r="L108" s="67">
        <v>13138.547759155837</v>
      </c>
      <c r="M108" s="67">
        <v>1382.2750587289847</v>
      </c>
      <c r="N108" s="67">
        <v>33941.203131300186</v>
      </c>
    </row>
    <row r="109" spans="1:14" ht="21">
      <c r="A109" s="149">
        <v>105</v>
      </c>
      <c r="B109" s="109" t="s">
        <v>93</v>
      </c>
      <c r="C109" s="109" t="s">
        <v>52</v>
      </c>
      <c r="D109" s="109" t="s">
        <v>248</v>
      </c>
      <c r="E109" s="66">
        <v>11</v>
      </c>
      <c r="F109" s="66">
        <v>2.25</v>
      </c>
      <c r="G109" s="67">
        <v>186300.15998334505</v>
      </c>
      <c r="H109" s="67">
        <v>126038.39420120427</v>
      </c>
      <c r="I109" s="67">
        <v>13260.196784318749</v>
      </c>
      <c r="J109" s="67">
        <v>325598.7509688681</v>
      </c>
      <c r="K109" s="67">
        <v>16936.378180304095</v>
      </c>
      <c r="L109" s="67">
        <v>11458.035836473115</v>
      </c>
      <c r="M109" s="67">
        <v>1205.472434938068</v>
      </c>
      <c r="N109" s="67">
        <v>29599.886451715276</v>
      </c>
    </row>
    <row r="110" spans="1:14" ht="21">
      <c r="A110" s="149">
        <v>106</v>
      </c>
      <c r="B110" s="109" t="s">
        <v>122</v>
      </c>
      <c r="C110" s="109" t="s">
        <v>120</v>
      </c>
      <c r="D110" s="109" t="s">
        <v>349</v>
      </c>
      <c r="E110" s="66">
        <v>10</v>
      </c>
      <c r="F110" s="66">
        <v>3.36</v>
      </c>
      <c r="G110" s="67">
        <v>193967.96435045314</v>
      </c>
      <c r="H110" s="67">
        <v>92403.40416918429</v>
      </c>
      <c r="I110" s="67">
        <v>13913.152930513594</v>
      </c>
      <c r="J110" s="67">
        <v>300284.52145015105</v>
      </c>
      <c r="K110" s="67">
        <v>19396.796435045315</v>
      </c>
      <c r="L110" s="67">
        <v>9240.340416918429</v>
      </c>
      <c r="M110" s="67">
        <v>1391.3152930513593</v>
      </c>
      <c r="N110" s="67">
        <v>30028.452145015104</v>
      </c>
    </row>
    <row r="111" spans="1:14" ht="21">
      <c r="A111" s="149">
        <v>107</v>
      </c>
      <c r="B111" s="109" t="s">
        <v>276</v>
      </c>
      <c r="C111" s="109" t="s">
        <v>278</v>
      </c>
      <c r="D111" s="109" t="s">
        <v>236</v>
      </c>
      <c r="E111" s="66">
        <v>9</v>
      </c>
      <c r="F111" s="66">
        <v>3.67</v>
      </c>
      <c r="G111" s="67">
        <v>200358.84565043222</v>
      </c>
      <c r="H111" s="67">
        <v>74628.40901890505</v>
      </c>
      <c r="I111" s="67">
        <v>8365.51055801532</v>
      </c>
      <c r="J111" s="67">
        <v>283352.7652273526</v>
      </c>
      <c r="K111" s="67">
        <v>22262.093961159135</v>
      </c>
      <c r="L111" s="67">
        <v>8292.045446545006</v>
      </c>
      <c r="M111" s="67">
        <v>929.5011731128133</v>
      </c>
      <c r="N111" s="67">
        <v>31483.640580816955</v>
      </c>
    </row>
    <row r="112" spans="1:14" ht="21">
      <c r="A112" s="149">
        <v>108</v>
      </c>
      <c r="B112" s="109" t="s">
        <v>80</v>
      </c>
      <c r="C112" s="109" t="s">
        <v>88</v>
      </c>
      <c r="D112" s="109" t="s">
        <v>336</v>
      </c>
      <c r="E112" s="66">
        <v>8</v>
      </c>
      <c r="F112" s="66">
        <v>2.11</v>
      </c>
      <c r="G112" s="67">
        <v>182106.73155985316</v>
      </c>
      <c r="H112" s="67">
        <v>58075.68771953949</v>
      </c>
      <c r="I112" s="67">
        <v>5764.606827338024</v>
      </c>
      <c r="J112" s="67">
        <v>245947.02610673066</v>
      </c>
      <c r="K112" s="67">
        <v>22763.341444981645</v>
      </c>
      <c r="L112" s="67">
        <v>7259.4609649424365</v>
      </c>
      <c r="M112" s="67">
        <v>720.575853417253</v>
      </c>
      <c r="N112" s="67">
        <v>30743.378263341332</v>
      </c>
    </row>
    <row r="113" spans="1:14" ht="21">
      <c r="A113" s="149">
        <v>109</v>
      </c>
      <c r="B113" s="109" t="s">
        <v>128</v>
      </c>
      <c r="C113" s="109" t="s">
        <v>129</v>
      </c>
      <c r="D113" s="109" t="s">
        <v>365</v>
      </c>
      <c r="E113" s="66">
        <v>8</v>
      </c>
      <c r="F113" s="66">
        <v>3.83</v>
      </c>
      <c r="G113" s="67">
        <v>220089.57126611052</v>
      </c>
      <c r="H113" s="67">
        <v>130479.03322425204</v>
      </c>
      <c r="I113" s="67">
        <v>10649.830661680095</v>
      </c>
      <c r="J113" s="67">
        <v>361218.43515204266</v>
      </c>
      <c r="K113" s="67">
        <v>27511.196408263815</v>
      </c>
      <c r="L113" s="67">
        <v>16309.879153031505</v>
      </c>
      <c r="M113" s="67">
        <v>1331.2288327100118</v>
      </c>
      <c r="N113" s="67">
        <v>45152.30439400533</v>
      </c>
    </row>
    <row r="114" spans="1:14" ht="21">
      <c r="A114" s="149">
        <v>110</v>
      </c>
      <c r="B114" s="109" t="s">
        <v>80</v>
      </c>
      <c r="C114" s="109" t="s">
        <v>81</v>
      </c>
      <c r="D114" s="109" t="s">
        <v>275</v>
      </c>
      <c r="E114" s="66">
        <v>5</v>
      </c>
      <c r="F114" s="66">
        <v>2.78</v>
      </c>
      <c r="G114" s="67">
        <v>246418.58010632856</v>
      </c>
      <c r="H114" s="67">
        <v>170514.12973929045</v>
      </c>
      <c r="I114" s="67">
        <v>15252.508228197525</v>
      </c>
      <c r="J114" s="67">
        <v>432185.21807381656</v>
      </c>
      <c r="K114" s="67">
        <v>49283.71602126571</v>
      </c>
      <c r="L114" s="67">
        <v>34102.82594785809</v>
      </c>
      <c r="M114" s="67">
        <v>3050.501645639505</v>
      </c>
      <c r="N114" s="67">
        <v>86437.0436147633</v>
      </c>
    </row>
    <row r="115" spans="1:14" ht="21">
      <c r="A115" s="149">
        <v>111</v>
      </c>
      <c r="B115" s="109" t="s">
        <v>128</v>
      </c>
      <c r="C115" s="109" t="s">
        <v>129</v>
      </c>
      <c r="D115" s="109" t="s">
        <v>364</v>
      </c>
      <c r="E115" s="66">
        <v>4</v>
      </c>
      <c r="F115" s="66">
        <v>3.2600000000000002</v>
      </c>
      <c r="G115" s="67">
        <v>187334.7264562716</v>
      </c>
      <c r="H115" s="67">
        <v>111060.48258774455</v>
      </c>
      <c r="I115" s="67">
        <v>9064.868918296896</v>
      </c>
      <c r="J115" s="67">
        <v>307460.077962313</v>
      </c>
      <c r="K115" s="67">
        <v>46833.6816140679</v>
      </c>
      <c r="L115" s="67">
        <v>27765.12064693614</v>
      </c>
      <c r="M115" s="67">
        <v>2266.217229574224</v>
      </c>
      <c r="N115" s="67">
        <v>76865.01949057826</v>
      </c>
    </row>
    <row r="116" spans="1:14" ht="21">
      <c r="A116" s="149">
        <v>112</v>
      </c>
      <c r="B116" s="109" t="s">
        <v>276</v>
      </c>
      <c r="C116" s="109" t="s">
        <v>97</v>
      </c>
      <c r="D116" s="109" t="s">
        <v>198</v>
      </c>
      <c r="E116" s="66">
        <v>3</v>
      </c>
      <c r="F116" s="66">
        <v>0.5</v>
      </c>
      <c r="G116" s="67">
        <v>51281.64702876332</v>
      </c>
      <c r="H116" s="67">
        <v>17281.357161629436</v>
      </c>
      <c r="I116" s="67">
        <v>1139.7153307052124</v>
      </c>
      <c r="J116" s="67">
        <v>69702.71952109797</v>
      </c>
      <c r="K116" s="67">
        <v>17093.882342921108</v>
      </c>
      <c r="L116" s="67">
        <v>5760.452387209812</v>
      </c>
      <c r="M116" s="67">
        <v>379.9051102350708</v>
      </c>
      <c r="N116" s="67">
        <v>23234.23984036599</v>
      </c>
    </row>
    <row r="117" spans="1:14" ht="21">
      <c r="A117" s="149">
        <v>113</v>
      </c>
      <c r="B117" s="109" t="s">
        <v>128</v>
      </c>
      <c r="C117" s="109" t="s">
        <v>97</v>
      </c>
      <c r="D117" s="109" t="s">
        <v>202</v>
      </c>
      <c r="E117" s="66">
        <v>3</v>
      </c>
      <c r="F117" s="66">
        <v>1.06</v>
      </c>
      <c r="G117" s="67">
        <v>108717.09170097824</v>
      </c>
      <c r="H117" s="67">
        <v>36636.4771826544</v>
      </c>
      <c r="I117" s="67">
        <v>2416.1965010950507</v>
      </c>
      <c r="J117" s="67">
        <v>147769.7653847277</v>
      </c>
      <c r="K117" s="67">
        <v>36239.03056699275</v>
      </c>
      <c r="L117" s="67">
        <v>12212.1590608848</v>
      </c>
      <c r="M117" s="67">
        <v>805.3988336983502</v>
      </c>
      <c r="N117" s="67">
        <v>49256.5884615759</v>
      </c>
    </row>
    <row r="118" spans="1:14" ht="21">
      <c r="A118" s="149">
        <v>114</v>
      </c>
      <c r="B118" s="109" t="s">
        <v>57</v>
      </c>
      <c r="C118" s="109" t="s">
        <v>64</v>
      </c>
      <c r="D118" s="109" t="s">
        <v>323</v>
      </c>
      <c r="E118" s="66">
        <v>2</v>
      </c>
      <c r="F118" s="66">
        <v>0.17</v>
      </c>
      <c r="G118" s="67">
        <v>8521.416595922927</v>
      </c>
      <c r="H118" s="67">
        <v>3283.4434864562973</v>
      </c>
      <c r="I118" s="67">
        <v>390.29573024294893</v>
      </c>
      <c r="J118" s="67">
        <v>12195.155812622173</v>
      </c>
      <c r="K118" s="67">
        <v>4260.708297961463</v>
      </c>
      <c r="L118" s="67">
        <v>1641.7217432281486</v>
      </c>
      <c r="M118" s="67">
        <v>195.14786512147447</v>
      </c>
      <c r="N118" s="67">
        <v>6097.577906311087</v>
      </c>
    </row>
    <row r="119" spans="1:14" ht="21">
      <c r="A119" s="149">
        <v>115</v>
      </c>
      <c r="B119" s="109" t="s">
        <v>276</v>
      </c>
      <c r="C119" s="109" t="s">
        <v>97</v>
      </c>
      <c r="D119" s="109" t="s">
        <v>197</v>
      </c>
      <c r="E119" s="66">
        <v>2</v>
      </c>
      <c r="F119" s="66">
        <v>0.33</v>
      </c>
      <c r="G119" s="67">
        <v>33845.8870389838</v>
      </c>
      <c r="H119" s="67">
        <v>11405.695726675427</v>
      </c>
      <c r="I119" s="67">
        <v>752.2121182654404</v>
      </c>
      <c r="J119" s="67">
        <v>46003.79488392466</v>
      </c>
      <c r="K119" s="67">
        <v>16922.9435194919</v>
      </c>
      <c r="L119" s="67">
        <v>5702.8478633377135</v>
      </c>
      <c r="M119" s="67">
        <v>376.1060591327202</v>
      </c>
      <c r="N119" s="67">
        <v>23001.89744196233</v>
      </c>
    </row>
    <row r="120" spans="1:14" ht="21">
      <c r="A120" s="149">
        <v>116</v>
      </c>
      <c r="B120" s="109" t="s">
        <v>128</v>
      </c>
      <c r="C120" s="109" t="s">
        <v>129</v>
      </c>
      <c r="D120" s="109" t="s">
        <v>332</v>
      </c>
      <c r="E120" s="66">
        <v>1</v>
      </c>
      <c r="F120" s="66">
        <v>0.06</v>
      </c>
      <c r="G120" s="67">
        <v>3447.8784010356735</v>
      </c>
      <c r="H120" s="67">
        <v>2044.0579617376295</v>
      </c>
      <c r="I120" s="67">
        <v>166.83807825086308</v>
      </c>
      <c r="J120" s="67">
        <v>5658.774441024166</v>
      </c>
      <c r="K120" s="67">
        <v>3447.8784010356735</v>
      </c>
      <c r="L120" s="67">
        <v>2044.0579617376295</v>
      </c>
      <c r="M120" s="67">
        <v>166.83807825086308</v>
      </c>
      <c r="N120" s="67">
        <v>5658.774441024166</v>
      </c>
    </row>
  </sheetData>
  <sheetProtection/>
  <autoFilter ref="B4:Q4">
    <sortState ref="B5:Q120">
      <sortCondition descending="1" sortBy="value" ref="E5:E120"/>
    </sortState>
  </autoFilter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6">
      <selection activeCell="B26" sqref="B26"/>
    </sheetView>
  </sheetViews>
  <sheetFormatPr defaultColWidth="9.140625" defaultRowHeight="15"/>
  <cols>
    <col min="1" max="1" width="4.57421875" style="23" customWidth="1"/>
    <col min="2" max="2" width="39.421875" style="116" customWidth="1"/>
    <col min="3" max="3" width="7.421875" style="23" bestFit="1" customWidth="1"/>
    <col min="4" max="4" width="10.00390625" style="23" customWidth="1"/>
    <col min="5" max="5" width="6.421875" style="23" bestFit="1" customWidth="1"/>
    <col min="6" max="6" width="12.57421875" style="116" customWidth="1"/>
    <col min="7" max="7" width="7.421875" style="116" bestFit="1" customWidth="1"/>
    <col min="8" max="8" width="10.421875" style="116" customWidth="1"/>
    <col min="9" max="9" width="6.421875" style="116" bestFit="1" customWidth="1"/>
    <col min="10" max="10" width="12.421875" style="116" customWidth="1"/>
    <col min="11" max="16384" width="9.00390625" style="23" customWidth="1"/>
  </cols>
  <sheetData>
    <row r="1" spans="1:10" ht="21">
      <c r="A1" s="174" t="s">
        <v>368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21">
      <c r="A2" s="174" t="s">
        <v>369</v>
      </c>
      <c r="B2" s="174"/>
      <c r="C2" s="174"/>
      <c r="D2" s="174"/>
      <c r="E2" s="174"/>
      <c r="F2" s="174"/>
      <c r="G2" s="174"/>
      <c r="H2" s="174"/>
      <c r="I2" s="174"/>
      <c r="J2" s="174"/>
    </row>
    <row r="4" spans="1:10" s="162" customFormat="1" ht="21">
      <c r="A4" s="208" t="s">
        <v>370</v>
      </c>
      <c r="B4" s="209" t="s">
        <v>264</v>
      </c>
      <c r="C4" s="210" t="s">
        <v>371</v>
      </c>
      <c r="D4" s="210"/>
      <c r="E4" s="210"/>
      <c r="F4" s="210"/>
      <c r="G4" s="211" t="s">
        <v>372</v>
      </c>
      <c r="H4" s="211"/>
      <c r="I4" s="211"/>
      <c r="J4" s="211"/>
    </row>
    <row r="5" spans="1:10" s="162" customFormat="1" ht="21">
      <c r="A5" s="208"/>
      <c r="B5" s="209"/>
      <c r="C5" s="148" t="s">
        <v>224</v>
      </c>
      <c r="D5" s="148" t="s">
        <v>265</v>
      </c>
      <c r="E5" s="148" t="s">
        <v>266</v>
      </c>
      <c r="F5" s="163" t="s">
        <v>22</v>
      </c>
      <c r="G5" s="164" t="s">
        <v>224</v>
      </c>
      <c r="H5" s="164" t="s">
        <v>265</v>
      </c>
      <c r="I5" s="164" t="s">
        <v>266</v>
      </c>
      <c r="J5" s="163" t="s">
        <v>22</v>
      </c>
    </row>
    <row r="6" spans="1:10" ht="21">
      <c r="A6" s="149">
        <v>1</v>
      </c>
      <c r="B6" s="7" t="s">
        <v>373</v>
      </c>
      <c r="C6" s="67">
        <v>0</v>
      </c>
      <c r="D6" s="67">
        <v>3050</v>
      </c>
      <c r="E6" s="67">
        <v>25</v>
      </c>
      <c r="F6" s="115">
        <f>+C6+D6+E6</f>
        <v>3075</v>
      </c>
      <c r="G6" s="115">
        <v>0</v>
      </c>
      <c r="H6" s="115">
        <v>2459.78</v>
      </c>
      <c r="I6" s="115">
        <v>19.77</v>
      </c>
      <c r="J6" s="115">
        <f>+G6+H6+I6</f>
        <v>2479.55</v>
      </c>
    </row>
    <row r="7" spans="1:10" ht="21">
      <c r="A7" s="149">
        <v>2</v>
      </c>
      <c r="B7" s="7" t="s">
        <v>374</v>
      </c>
      <c r="C7" s="67">
        <v>0</v>
      </c>
      <c r="D7" s="67">
        <v>4427</v>
      </c>
      <c r="E7" s="67">
        <v>18</v>
      </c>
      <c r="F7" s="165">
        <f>+C7+D7+E7</f>
        <v>4445</v>
      </c>
      <c r="G7" s="115">
        <v>0</v>
      </c>
      <c r="H7" s="115">
        <v>3264.37</v>
      </c>
      <c r="I7" s="115">
        <v>11.44</v>
      </c>
      <c r="J7" s="115">
        <f>+G7+H7+I7</f>
        <v>3275.81</v>
      </c>
    </row>
    <row r="8" spans="1:10" ht="21">
      <c r="A8" s="149">
        <v>3</v>
      </c>
      <c r="B8" s="7" t="s">
        <v>375</v>
      </c>
      <c r="C8" s="67">
        <v>0</v>
      </c>
      <c r="D8" s="67">
        <v>2089</v>
      </c>
      <c r="E8" s="67">
        <v>0</v>
      </c>
      <c r="F8" s="165">
        <f>+C8+D8+E8</f>
        <v>2089</v>
      </c>
      <c r="G8" s="115">
        <v>0</v>
      </c>
      <c r="H8" s="115">
        <v>1567.66</v>
      </c>
      <c r="I8" s="115">
        <v>0</v>
      </c>
      <c r="J8" s="115">
        <f>+G8+H8+I8</f>
        <v>1567.66</v>
      </c>
    </row>
    <row r="9" spans="1:10" ht="21">
      <c r="A9" s="149">
        <v>4</v>
      </c>
      <c r="B9" s="7" t="s">
        <v>376</v>
      </c>
      <c r="C9" s="67">
        <v>0</v>
      </c>
      <c r="D9" s="67">
        <v>760</v>
      </c>
      <c r="E9" s="67">
        <v>0</v>
      </c>
      <c r="F9" s="115">
        <f>+C9+D9+E9</f>
        <v>760</v>
      </c>
      <c r="G9" s="115">
        <v>0</v>
      </c>
      <c r="H9" s="115">
        <v>556.08</v>
      </c>
      <c r="I9" s="115">
        <v>0</v>
      </c>
      <c r="J9" s="115">
        <f>+G9+H9+I9</f>
        <v>556.08</v>
      </c>
    </row>
    <row r="10" spans="1:10" ht="21">
      <c r="A10" s="149">
        <v>5</v>
      </c>
      <c r="B10" s="7" t="s">
        <v>377</v>
      </c>
      <c r="C10" s="67">
        <v>0</v>
      </c>
      <c r="D10" s="67">
        <v>1065</v>
      </c>
      <c r="E10" s="67">
        <v>0</v>
      </c>
      <c r="F10" s="115">
        <f aca="true" t="shared" si="0" ref="F10:F22">+C10+D10+E10</f>
        <v>1065</v>
      </c>
      <c r="G10" s="115">
        <v>0</v>
      </c>
      <c r="H10" s="115">
        <v>812.33</v>
      </c>
      <c r="I10" s="115">
        <v>0</v>
      </c>
      <c r="J10" s="115">
        <f aca="true" t="shared" si="1" ref="J10:J22">+G10+H10+I10</f>
        <v>812.33</v>
      </c>
    </row>
    <row r="11" spans="1:10" ht="21">
      <c r="A11" s="149">
        <v>6</v>
      </c>
      <c r="B11" s="7" t="s">
        <v>226</v>
      </c>
      <c r="C11" s="67">
        <v>284</v>
      </c>
      <c r="D11" s="67">
        <v>133</v>
      </c>
      <c r="E11" s="67">
        <v>0</v>
      </c>
      <c r="F11" s="115">
        <f t="shared" si="0"/>
        <v>417</v>
      </c>
      <c r="G11" s="115">
        <v>226.36</v>
      </c>
      <c r="H11" s="115">
        <v>85.86</v>
      </c>
      <c r="I11" s="115">
        <v>0</v>
      </c>
      <c r="J11" s="115">
        <f t="shared" si="1"/>
        <v>312.22</v>
      </c>
    </row>
    <row r="12" spans="1:10" ht="21">
      <c r="A12" s="149">
        <v>7</v>
      </c>
      <c r="B12" s="7" t="s">
        <v>378</v>
      </c>
      <c r="C12" s="67">
        <v>0</v>
      </c>
      <c r="D12" s="67">
        <v>8</v>
      </c>
      <c r="E12" s="67">
        <v>0</v>
      </c>
      <c r="F12" s="115">
        <f t="shared" si="0"/>
        <v>8</v>
      </c>
      <c r="G12" s="115">
        <v>0</v>
      </c>
      <c r="H12" s="115">
        <v>9.67</v>
      </c>
      <c r="I12" s="115">
        <v>0</v>
      </c>
      <c r="J12" s="115">
        <f t="shared" si="1"/>
        <v>9.67</v>
      </c>
    </row>
    <row r="13" spans="1:10" ht="21">
      <c r="A13" s="149">
        <v>8</v>
      </c>
      <c r="B13" s="7" t="s">
        <v>379</v>
      </c>
      <c r="C13" s="67">
        <v>0</v>
      </c>
      <c r="D13" s="67">
        <v>843</v>
      </c>
      <c r="E13" s="67">
        <v>0</v>
      </c>
      <c r="F13" s="115">
        <f t="shared" si="0"/>
        <v>843</v>
      </c>
      <c r="G13" s="115">
        <v>0</v>
      </c>
      <c r="H13" s="115">
        <v>673.92</v>
      </c>
      <c r="I13" s="115">
        <v>0</v>
      </c>
      <c r="J13" s="115">
        <f t="shared" si="1"/>
        <v>673.92</v>
      </c>
    </row>
    <row r="14" spans="1:10" ht="21">
      <c r="A14" s="149">
        <v>9</v>
      </c>
      <c r="B14" s="7" t="s">
        <v>380</v>
      </c>
      <c r="C14" s="67">
        <v>0</v>
      </c>
      <c r="D14" s="67">
        <v>166</v>
      </c>
      <c r="E14" s="67">
        <v>2</v>
      </c>
      <c r="F14" s="115">
        <f t="shared" si="0"/>
        <v>168</v>
      </c>
      <c r="G14" s="115">
        <v>0</v>
      </c>
      <c r="H14" s="115">
        <v>122.58</v>
      </c>
      <c r="I14" s="115">
        <v>2.2</v>
      </c>
      <c r="J14" s="115">
        <f t="shared" si="1"/>
        <v>124.78</v>
      </c>
    </row>
    <row r="15" spans="1:10" ht="21">
      <c r="A15" s="149">
        <v>10</v>
      </c>
      <c r="B15" s="7" t="s">
        <v>381</v>
      </c>
      <c r="C15" s="67">
        <v>0</v>
      </c>
      <c r="D15" s="67">
        <v>748</v>
      </c>
      <c r="E15" s="67">
        <v>11</v>
      </c>
      <c r="F15" s="115">
        <f t="shared" si="0"/>
        <v>759</v>
      </c>
      <c r="G15" s="115">
        <v>0</v>
      </c>
      <c r="H15" s="115">
        <v>565.47</v>
      </c>
      <c r="I15" s="115">
        <v>4.95</v>
      </c>
      <c r="J15" s="115">
        <f t="shared" si="1"/>
        <v>570.4200000000001</v>
      </c>
    </row>
    <row r="16" spans="1:10" ht="21">
      <c r="A16" s="149">
        <v>11</v>
      </c>
      <c r="B16" s="7" t="s">
        <v>382</v>
      </c>
      <c r="C16" s="67">
        <v>0</v>
      </c>
      <c r="D16" s="67">
        <v>117</v>
      </c>
      <c r="E16" s="67">
        <v>0</v>
      </c>
      <c r="F16" s="115">
        <f t="shared" si="0"/>
        <v>117</v>
      </c>
      <c r="G16" s="115">
        <v>0</v>
      </c>
      <c r="H16" s="115">
        <v>97.81</v>
      </c>
      <c r="I16" s="115">
        <v>0</v>
      </c>
      <c r="J16" s="115">
        <f t="shared" si="1"/>
        <v>97.81</v>
      </c>
    </row>
    <row r="17" spans="1:10" ht="21">
      <c r="A17" s="149">
        <v>12</v>
      </c>
      <c r="B17" s="7" t="s">
        <v>383</v>
      </c>
      <c r="C17" s="67">
        <v>0</v>
      </c>
      <c r="D17" s="67">
        <v>245</v>
      </c>
      <c r="E17" s="67">
        <v>0</v>
      </c>
      <c r="F17" s="115">
        <f t="shared" si="0"/>
        <v>245</v>
      </c>
      <c r="G17" s="115">
        <v>0</v>
      </c>
      <c r="H17" s="115">
        <v>258.56</v>
      </c>
      <c r="I17" s="115">
        <v>0</v>
      </c>
      <c r="J17" s="115">
        <f t="shared" si="1"/>
        <v>258.56</v>
      </c>
    </row>
    <row r="18" spans="1:10" ht="21">
      <c r="A18" s="149">
        <v>13</v>
      </c>
      <c r="B18" s="7" t="s">
        <v>384</v>
      </c>
      <c r="C18" s="67">
        <v>0</v>
      </c>
      <c r="D18" s="67">
        <v>1561</v>
      </c>
      <c r="E18" s="67">
        <v>0</v>
      </c>
      <c r="F18" s="165">
        <f t="shared" si="0"/>
        <v>1561</v>
      </c>
      <c r="G18" s="115">
        <v>0</v>
      </c>
      <c r="H18" s="115">
        <v>1217.54</v>
      </c>
      <c r="I18" s="115">
        <v>0</v>
      </c>
      <c r="J18" s="115">
        <f t="shared" si="1"/>
        <v>1217.54</v>
      </c>
    </row>
    <row r="19" spans="1:10" ht="21">
      <c r="A19" s="149">
        <v>14</v>
      </c>
      <c r="B19" s="7" t="s">
        <v>385</v>
      </c>
      <c r="C19" s="67">
        <v>0</v>
      </c>
      <c r="D19" s="67">
        <v>438</v>
      </c>
      <c r="E19" s="67">
        <v>3</v>
      </c>
      <c r="F19" s="115">
        <f t="shared" si="0"/>
        <v>441</v>
      </c>
      <c r="G19" s="115">
        <v>0</v>
      </c>
      <c r="H19" s="115">
        <v>341.39</v>
      </c>
      <c r="I19" s="115">
        <v>1.06</v>
      </c>
      <c r="J19" s="115">
        <f t="shared" si="1"/>
        <v>342.45</v>
      </c>
    </row>
    <row r="20" spans="1:10" ht="21">
      <c r="A20" s="149">
        <v>15</v>
      </c>
      <c r="B20" s="7" t="s">
        <v>386</v>
      </c>
      <c r="C20" s="67">
        <v>0</v>
      </c>
      <c r="D20" s="67">
        <v>702</v>
      </c>
      <c r="E20" s="67">
        <v>0</v>
      </c>
      <c r="F20" s="165">
        <f t="shared" si="0"/>
        <v>702</v>
      </c>
      <c r="G20" s="115">
        <v>0</v>
      </c>
      <c r="H20" s="115">
        <v>470.7</v>
      </c>
      <c r="I20" s="115">
        <v>0</v>
      </c>
      <c r="J20" s="115">
        <f t="shared" si="1"/>
        <v>470.7</v>
      </c>
    </row>
    <row r="21" spans="1:10" ht="21">
      <c r="A21" s="149">
        <v>16</v>
      </c>
      <c r="B21" s="7" t="s">
        <v>387</v>
      </c>
      <c r="C21" s="67">
        <v>0</v>
      </c>
      <c r="D21" s="67">
        <v>527</v>
      </c>
      <c r="E21" s="67">
        <v>0</v>
      </c>
      <c r="F21" s="115">
        <f t="shared" si="0"/>
        <v>527</v>
      </c>
      <c r="G21" s="115">
        <v>0</v>
      </c>
      <c r="H21" s="115">
        <v>426.87</v>
      </c>
      <c r="I21" s="115">
        <v>0</v>
      </c>
      <c r="J21" s="115">
        <f t="shared" si="1"/>
        <v>426.87</v>
      </c>
    </row>
    <row r="22" spans="1:10" ht="21.75" thickBot="1">
      <c r="A22" s="149">
        <v>17</v>
      </c>
      <c r="B22" s="7" t="s">
        <v>388</v>
      </c>
      <c r="C22" s="166">
        <v>0</v>
      </c>
      <c r="D22" s="166">
        <v>551</v>
      </c>
      <c r="E22" s="166">
        <v>0</v>
      </c>
      <c r="F22" s="167">
        <f t="shared" si="0"/>
        <v>551</v>
      </c>
      <c r="G22" s="167">
        <v>0</v>
      </c>
      <c r="H22" s="167">
        <v>390.85</v>
      </c>
      <c r="I22" s="167">
        <v>0</v>
      </c>
      <c r="J22" s="167">
        <f t="shared" si="1"/>
        <v>390.85</v>
      </c>
    </row>
    <row r="23" spans="1:10" ht="22.5" thickBot="1" thickTop="1">
      <c r="A23" s="207" t="s">
        <v>4</v>
      </c>
      <c r="B23" s="207"/>
      <c r="C23" s="168">
        <f aca="true" t="shared" si="2" ref="C23:J23">SUM(C6:C22)</f>
        <v>284</v>
      </c>
      <c r="D23" s="168">
        <f t="shared" si="2"/>
        <v>17430</v>
      </c>
      <c r="E23" s="168">
        <f t="shared" si="2"/>
        <v>59</v>
      </c>
      <c r="F23" s="169">
        <f t="shared" si="2"/>
        <v>17773</v>
      </c>
      <c r="G23" s="169">
        <f t="shared" si="2"/>
        <v>226.36</v>
      </c>
      <c r="H23" s="169">
        <f t="shared" si="2"/>
        <v>13321.439999999999</v>
      </c>
      <c r="I23" s="169">
        <f t="shared" si="2"/>
        <v>39.42000000000001</v>
      </c>
      <c r="J23" s="169">
        <f t="shared" si="2"/>
        <v>13587.220000000001</v>
      </c>
    </row>
    <row r="24" ht="21.75" thickTop="1"/>
    <row r="25" spans="5:6" ht="21">
      <c r="E25" s="23" t="s">
        <v>268</v>
      </c>
      <c r="F25" s="170">
        <f>+F7+F8+F18+F20</f>
        <v>8797</v>
      </c>
    </row>
    <row r="27" spans="5:6" ht="21">
      <c r="E27" s="23" t="s">
        <v>267</v>
      </c>
      <c r="F27" s="170">
        <f>+F23-F25</f>
        <v>8976</v>
      </c>
    </row>
  </sheetData>
  <sheetProtection/>
  <mergeCells count="7">
    <mergeCell ref="A23:B23"/>
    <mergeCell ref="A1:J1"/>
    <mergeCell ref="A2:J2"/>
    <mergeCell ref="A4:A5"/>
    <mergeCell ref="B4:B5"/>
    <mergeCell ref="C4:F4"/>
    <mergeCell ref="G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COM02</dc:creator>
  <cp:keywords/>
  <dc:description/>
  <cp:lastModifiedBy>COM02</cp:lastModifiedBy>
  <cp:lastPrinted>2021-02-23T06:32:22Z</cp:lastPrinted>
  <dcterms:created xsi:type="dcterms:W3CDTF">2016-04-29T03:43:06Z</dcterms:created>
  <dcterms:modified xsi:type="dcterms:W3CDTF">2021-05-18T02:08:18Z</dcterms:modified>
  <cp:category/>
  <cp:version/>
  <cp:contentType/>
  <cp:contentStatus/>
</cp:coreProperties>
</file>