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firstSheet="2" activeTab="6"/>
  </bookViews>
  <sheets>
    <sheet name="ขั้นตอนการคำนวณ" sheetId="1" r:id="rId1"/>
    <sheet name="คชจ.หน่วยงาน64" sheetId="2" r:id="rId2"/>
    <sheet name="จัดกลุ่มคชจ.64" sheetId="3" r:id="rId3"/>
    <sheet name="สรุปคชจ.64" sheetId="4" r:id="rId4"/>
    <sheet name="ปันส่วนหน่วยงานสนับสนุน.64" sheetId="5" r:id="rId5"/>
    <sheet name="ต้นทุนคณะเฉลี่ย64" sheetId="6" r:id="rId6"/>
    <sheet name="ต้นทุนหลักสูตรเฉลี่ย64 (แก้ไข)" sheetId="7" r:id="rId7"/>
    <sheet name="จำนวนนศ.มากไปน้อย64" sheetId="8" r:id="rId8"/>
    <sheet name="สรุป FTES64" sheetId="9" r:id="rId9"/>
    <sheet name="FTES64" sheetId="10" r:id="rId10"/>
  </sheets>
  <definedNames>
    <definedName name="_xlnm._FilterDatabase" localSheetId="7" hidden="1">'จำนวนนศ.มากไปน้อย64'!$A$4:$M$4</definedName>
    <definedName name="_xlnm._FilterDatabase" localSheetId="5" hidden="1">'ต้นทุนคณะเฉลี่ย64'!$A$4:$M$143</definedName>
    <definedName name="_xlnm.Print_Titles" localSheetId="5">'ต้นทุนคณะเฉลี่ย64'!$1:$4</definedName>
    <definedName name="_xlnm.Print_Titles" localSheetId="6">'ต้นทุนหลักสูตรเฉลี่ย64 (แก้ไข)'!$1:$4</definedName>
  </definedNames>
  <calcPr fullCalcOnLoad="1"/>
</workbook>
</file>

<file path=xl/sharedStrings.xml><?xml version="1.0" encoding="utf-8"?>
<sst xmlns="http://schemas.openxmlformats.org/spreadsheetml/2006/main" count="2988" uniqueCount="529">
  <si>
    <t>งปม.</t>
  </si>
  <si>
    <t>นอกงปม.</t>
  </si>
  <si>
    <t>ชื่อหน่วยงาน</t>
  </si>
  <si>
    <t>รวมทั้งสิ้น</t>
  </si>
  <si>
    <t>งบกลาง</t>
  </si>
  <si>
    <t xml:space="preserve"> หน่วยงานหลัก </t>
  </si>
  <si>
    <t xml:space="preserve"> 7. คณะวิทยาศาสตร์และเทคโนโลยี (ทุ่งใหญ่) </t>
  </si>
  <si>
    <t xml:space="preserve"> 7. คณะวิทยาศาสตร์และเทคโนโลยี (ไสใหญ่) </t>
  </si>
  <si>
    <t xml:space="preserve"> 8. คณะเกษตรศาสตร์ (ทุ่งใหญ่) </t>
  </si>
  <si>
    <t xml:space="preserve"> 8. คณะเกษตรศาสตร์ (ไสใหญ่) </t>
  </si>
  <si>
    <t xml:space="preserve"> 9. คณะอุตสาหกรรมเกษตร (ทุ่งใหญ่) </t>
  </si>
  <si>
    <t xml:space="preserve"> 10. คณะสัตวแพทย์ศาสตร์ (ทุ่งใหญ่) </t>
  </si>
  <si>
    <t xml:space="preserve"> 11. คณะเทคโนโลยีการจัดการ (ไสใหญ่) </t>
  </si>
  <si>
    <t xml:space="preserve"> 12. คณะวิทยาศาสตร์และเทคโนโลยีการประมง (ตรัง) </t>
  </si>
  <si>
    <t>รวม</t>
  </si>
  <si>
    <t xml:space="preserve"> หน่วยงานสนับสนุน </t>
  </si>
  <si>
    <t xml:space="preserve"> 3. สำนักงานวิทยาเขตนครศรีธรรมราช (ไสใหญ่) </t>
  </si>
  <si>
    <t xml:space="preserve"> 4. สำนักงานวิทยาเขตนครศรีธรรมราช (ทุ่งใหญ่) </t>
  </si>
  <si>
    <t xml:space="preserve"> 5. สำนักงานวิทยาเขตตรัง </t>
  </si>
  <si>
    <t xml:space="preserve"> 6. สถาบันวิจัยและพัฒนา  (ตรัง)</t>
  </si>
  <si>
    <t xml:space="preserve"> 7. สถาบันทรัพยากรธรรมชาติและสิ่งแวดล้อม (ตรัง)</t>
  </si>
  <si>
    <t>1. ฟาร์ม (ทุ่งใหญ่)</t>
  </si>
  <si>
    <t>2. หอพัก (ทุ่งใหญ่)</t>
  </si>
  <si>
    <t>3 โรงพยาบาลสัตว์ (ทุ่งใหญ่)</t>
  </si>
  <si>
    <t>6. หอพัก (ตรัง)</t>
  </si>
  <si>
    <t>รวมทุกหน่วยงาน</t>
  </si>
  <si>
    <t>1.ค่าใช้จ่ายด้านบุคลากร</t>
  </si>
  <si>
    <t>2.ค่าใช้จ่ายด้านการฝึกอบรม</t>
  </si>
  <si>
    <t>3.ค่าใช้จ่ายในการเดินทาง</t>
  </si>
  <si>
    <t>4.ค่าใช้จ่ายเงินอุดหนุน</t>
  </si>
  <si>
    <t>6.ค่าตอบแทน ใช้สอย และวัสดุ</t>
  </si>
  <si>
    <t>7.ค่าเสื่อมราคาและค่าตัดจำหน่าย</t>
  </si>
  <si>
    <t>9.ค่าใช้จ่ายอื่น ๆ</t>
  </si>
  <si>
    <t>(1+2+3+4)</t>
  </si>
  <si>
    <t>(6+7)</t>
  </si>
  <si>
    <t>5.รวมพัฒนา
บุคลากร</t>
  </si>
  <si>
    <t>8.รวมพัฒนา
การเรียนการสอน</t>
  </si>
  <si>
    <t xml:space="preserve"> ชื่อหลักสูตร </t>
  </si>
  <si>
    <t xml:space="preserve"> สาขา </t>
  </si>
  <si>
    <t xml:space="preserve"> คณะ/วิทยาลัย </t>
  </si>
  <si>
    <t xml:space="preserve"> รวมต้นทุน </t>
  </si>
  <si>
    <t xml:space="preserve"> ประกาศนียบัตรวิชาชีพชั้นสูง (ปวส.) </t>
  </si>
  <si>
    <t>สาขาวิชาการตลาด</t>
  </si>
  <si>
    <t xml:space="preserve"> วิทยาลัยรัตภูมิ </t>
  </si>
  <si>
    <t>สาขาวิชาการบัญชี</t>
  </si>
  <si>
    <t>สาขาวิชาคอมพิวเตอร์ธุรกิจ</t>
  </si>
  <si>
    <t>สาขาวิชาช่างยนต์</t>
  </si>
  <si>
    <t>ระดับปริญญาตรี</t>
  </si>
  <si>
    <t xml:space="preserve"> หลักสูตรบริหารธุรกิจบัณฑิต </t>
  </si>
  <si>
    <t xml:space="preserve"> คณะบริหารธุรกิจ </t>
  </si>
  <si>
    <t>สาขาวิชาระบบสารสนเทศทางธุรกิจ</t>
  </si>
  <si>
    <t>สาขาวิชาการเงิน</t>
  </si>
  <si>
    <t>หลักสูตรบัญชีบัณฑิต</t>
  </si>
  <si>
    <t xml:space="preserve"> หลักสูตรบัญชีบัณฑิต </t>
  </si>
  <si>
    <t xml:space="preserve"> สาขาวิชาการบัญชี </t>
  </si>
  <si>
    <t xml:space="preserve"> คณะเทคโนโลยีการจัดการ </t>
  </si>
  <si>
    <t xml:space="preserve"> สาขาวิชาการจัดการ </t>
  </si>
  <si>
    <t xml:space="preserve"> สาขาวิชาการเงิน </t>
  </si>
  <si>
    <t xml:space="preserve"> สาขาวิชาการจัดการโลจิสติกส์ </t>
  </si>
  <si>
    <t xml:space="preserve"> หลักสูตรศิลปศาสตรบัณฑิต </t>
  </si>
  <si>
    <t xml:space="preserve"> สาขาวิชาการโรงแรมและการท่องเที่ยว </t>
  </si>
  <si>
    <t xml:space="preserve"> วิทยาลัยการโรงแรมและท่องเที่ยว </t>
  </si>
  <si>
    <t xml:space="preserve"> สาขาวิชาการโรงแรม </t>
  </si>
  <si>
    <t xml:space="preserve"> คณะศิลปศาสตร์ </t>
  </si>
  <si>
    <t xml:space="preserve"> สาขาวิชาภาษาอังกฤษเพื่อการสื่อสารสากล </t>
  </si>
  <si>
    <t xml:space="preserve"> สาขาวิชาธุรกิจคหกรรมศาสตร์ </t>
  </si>
  <si>
    <t xml:space="preserve"> สาขาวิชาการท่องเที่ยว </t>
  </si>
  <si>
    <t xml:space="preserve"> สาขาวิชาอาหารและโภชนาการ </t>
  </si>
  <si>
    <t xml:space="preserve"> หลักสูตรวิทยาศาสตรบัณฑิต </t>
  </si>
  <si>
    <t xml:space="preserve"> คณะอุตสาหกรรมเกษตร </t>
  </si>
  <si>
    <t xml:space="preserve"> สาขาวิชาวิทยาศาสตร์และเทคโนโลยีการอาหาร </t>
  </si>
  <si>
    <t xml:space="preserve"> หลักสูตรคหกรรมศาสตรบัณฑิต </t>
  </si>
  <si>
    <t xml:space="preserve"> สาขาวิชาพืชศาสตร์ </t>
  </si>
  <si>
    <t xml:space="preserve"> คณะเกษตรศาสตร์ </t>
  </si>
  <si>
    <t xml:space="preserve"> สาขาวิชาสัตวศาสตร์ </t>
  </si>
  <si>
    <t xml:space="preserve"> สาขาวิชาประมง </t>
  </si>
  <si>
    <t xml:space="preserve"> คณะวิทยาศาสตร์และเทคโนโลยี </t>
  </si>
  <si>
    <t xml:space="preserve"> สาขาวิชาเทคโนโลยีการยาง </t>
  </si>
  <si>
    <t xml:space="preserve"> สาขาวิชาเทคโนโลยีน้ำมันปาล์มและโอลิโอเคมี </t>
  </si>
  <si>
    <t xml:space="preserve"> สาขาวิชาชีววิทยาประยุกต์ </t>
  </si>
  <si>
    <t xml:space="preserve"> สาขาวิชาเทคโนโลยีสารสนเทศ </t>
  </si>
  <si>
    <t xml:space="preserve"> หลักสูตรอุตสาหกรรมศาสตรบัณฑิต </t>
  </si>
  <si>
    <t xml:space="preserve"> สาขาวิชาเทคโนโลยีอุตสาหการ </t>
  </si>
  <si>
    <t xml:space="preserve"> หลักสูตรการแพทย์แผนไทยบัณฑิต </t>
  </si>
  <si>
    <t xml:space="preserve"> สาขาวิชาการแพทย์แผนไทย </t>
  </si>
  <si>
    <t xml:space="preserve"> คณะวิทยาศาสตร์และเทคโนโลยีการประมง </t>
  </si>
  <si>
    <t xml:space="preserve"> หลักสูตรเทคโนโลยีบัณฑิต </t>
  </si>
  <si>
    <t xml:space="preserve"> หลักสูตรวิศวกรรมศาสตรบัณฑิต </t>
  </si>
  <si>
    <t xml:space="preserve"> สาขาวิชาสัตวแพทยศาสตร์ </t>
  </si>
  <si>
    <t xml:space="preserve"> คณะสัตวแพทย์ศาสตร์ </t>
  </si>
  <si>
    <t xml:space="preserve"> สาขาวิชาวิศวกรรมไฟฟ้า </t>
  </si>
  <si>
    <t xml:space="preserve"> คณะวิศวกรรมศาสตร์ </t>
  </si>
  <si>
    <t xml:space="preserve"> สาขาวิชาวิศวกรรมคอมพิวเตอร์ </t>
  </si>
  <si>
    <t xml:space="preserve"> สาขาวิชาวิศวกรรมอิเล็กทรอนิกส์ </t>
  </si>
  <si>
    <t xml:space="preserve"> สาขาวิชาวิศกรรมเครื่องกล </t>
  </si>
  <si>
    <t xml:space="preserve"> สาขาวิชาวิศวกรรมโทรคมนาคม </t>
  </si>
  <si>
    <t xml:space="preserve"> สาขาวิชาวิศวกรรมอุตสาหการ </t>
  </si>
  <si>
    <t xml:space="preserve"> สาขาวิชาวิศวกรรมโยธา </t>
  </si>
  <si>
    <t xml:space="preserve"> สาขาวิชาวิศวกรรมสำรวจ </t>
  </si>
  <si>
    <t xml:space="preserve"> สาขาวิชาวิศวกรรมเครื่องนุ่งห่ม </t>
  </si>
  <si>
    <t xml:space="preserve"> สาขาวิชาวิศกรรมการผลิต </t>
  </si>
  <si>
    <t xml:space="preserve"> สาขาวิชาเทคโนโลยีเครื่องกล </t>
  </si>
  <si>
    <t xml:space="preserve"> วิทยาลัยเทคโนโลยีอุตสาหกรรมและการจัดการ </t>
  </si>
  <si>
    <t>หลักสูตรวิศวกรรมศาสตรบัณฑิต</t>
  </si>
  <si>
    <t xml:space="preserve"> คณะครุศาสตร์อุตสาหกรรมและเทคโนโลยี </t>
  </si>
  <si>
    <t xml:space="preserve"> สาขาวิชาวิศวกรรมอิเล็กทรอนิกส์และโทรคมนาคม </t>
  </si>
  <si>
    <t xml:space="preserve"> สาขาวิชาวิศวกรรมแมคคาทรอนิกส์ </t>
  </si>
  <si>
    <t xml:space="preserve"> สาขาวิชาเทคโนโลยีสื่อสารมวลชน </t>
  </si>
  <si>
    <t xml:space="preserve"> คณะสถาปัตยกรรมศาสตร์ </t>
  </si>
  <si>
    <t xml:space="preserve"> สาขาวิชาการผังเมือง </t>
  </si>
  <si>
    <t xml:space="preserve"> หลักสูตรศิลปบัณฑิต </t>
  </si>
  <si>
    <t xml:space="preserve"> สาขาวิชาจิตรกรรม </t>
  </si>
  <si>
    <t xml:space="preserve"> สาขาวิชาการออกแบบแฟชั่นและสิ่งทอ </t>
  </si>
  <si>
    <t xml:space="preserve"> ระดับปริญญาโท </t>
  </si>
  <si>
    <t xml:space="preserve"> หลักสูตรบริหารธุรกิจมหาบัณฑิต </t>
  </si>
  <si>
    <t xml:space="preserve"> คณะบริหารธุรกิจ  </t>
  </si>
  <si>
    <t xml:space="preserve"> หลักสูตรวิทยาศาสตรมหาบัณฑิต </t>
  </si>
  <si>
    <t xml:space="preserve"> คณะเกษตรศาสตร์  </t>
  </si>
  <si>
    <t xml:space="preserve"> สาขาวิชาเทคโนโลยีการผลิตพืช </t>
  </si>
  <si>
    <t xml:space="preserve"> สาขาวิชาการเพาะเลี้ยงสัตว์น้ำและการจัดการทรัพยากรประมง </t>
  </si>
  <si>
    <t xml:space="preserve"> หลักสูตรวิศวกรรมศาสตรมหาบัณฑิต </t>
  </si>
  <si>
    <t xml:space="preserve">รับการปันส่วนจากหน่วยงานสนับสนุน (ใช้เกณฑ์ FTES) </t>
  </si>
  <si>
    <t>คชจ.
พัฒนาอาจารย์และบุคลากร</t>
  </si>
  <si>
    <t xml:space="preserve">คชจ.
พัฒนานักศึกษา
</t>
  </si>
  <si>
    <t xml:space="preserve"> สาขาวิชาเทคโนโลยีปิโตรเลียม</t>
  </si>
  <si>
    <t>ค่าใช้จ่ายในการเดินทาง</t>
  </si>
  <si>
    <t>ค่าใช้จ่ายที่ไม่เป็นต้นทุนผลผลิตของมหาวิทยาลัยฯ</t>
  </si>
  <si>
    <t xml:space="preserve">รับปันส่วนคชจ.
พัฒนานักศึกษา
</t>
  </si>
  <si>
    <t>คชจ.หลังรับปันส่วนจากหน่วยงานสนับสนุน</t>
  </si>
  <si>
    <t>คชจ.
พัฒนาการเรียน
การสอน</t>
  </si>
  <si>
    <t xml:space="preserve">รับปันส่วนคชจ.
พัฒนาการเรียน
การสอน
</t>
  </si>
  <si>
    <t xml:space="preserve">รับปันส่วนคชจ.
พัฒนาอาจารย์และ
บุคลากร
</t>
  </si>
  <si>
    <t>สาขาวิชาช่างไฟฟ้า</t>
  </si>
  <si>
    <t>สาขาวิชาเทคโนโลยีเครื่องจักรกลเกษตร</t>
  </si>
  <si>
    <t>สาขาวิชาเทคโนโลยีคอมพิวเตอร์</t>
  </si>
  <si>
    <t>ต้นทุนเฉลี่ยคณะบริหารธุรกิจ</t>
  </si>
  <si>
    <t xml:space="preserve">ต้นทุนเฉลี่ยวิทยาลัยรัตภูมิ </t>
  </si>
  <si>
    <t xml:space="preserve">ต้นทุนเฉลี่ยคณะเทคโนโลยีการจัดการ </t>
  </si>
  <si>
    <t>ต้นทุนเฉลี่ยวิทยาลัยการโรงแรมและท่องเที่ยว</t>
  </si>
  <si>
    <t>ต้นทุนเฉลี่ยคณะศิลปศาสตร์</t>
  </si>
  <si>
    <t>ต้นทุนเฉลี่ยคณะอุตสาหกรรมเกษตร</t>
  </si>
  <si>
    <t>ต้นทุนเฉลี่ยคณะเกษตรศาสตร์</t>
  </si>
  <si>
    <t>ต้นทุนเฉลี่ยคณะวิทยาศาสตร์และเทคโนโลยี</t>
  </si>
  <si>
    <t>ต้นทุนเฉลี่ยคณะวิศวกรรมศาสตร์และเทคโนโลยี</t>
  </si>
  <si>
    <t>ต้นทุนเฉลี่ยคณะสัตวแพทย์ศาสตร์</t>
  </si>
  <si>
    <t>ต้นทุนเฉลี่ยคณะวิศวกรรมศาสตร์</t>
  </si>
  <si>
    <t>ต้นทุนเฉลี่ยวิทยาลัยเทคโนโลยีอุตสาหกรรมและการจัดการ</t>
  </si>
  <si>
    <t>ต้นทุนเฉลี่ยคณะครุศาสตร์อุตสาหกรรมและเทคโนโลยี</t>
  </si>
  <si>
    <t>ต้นทุนเฉลี่ยคณะสถาปัตยกรรมศาสตร์</t>
  </si>
  <si>
    <t xml:space="preserve">สาขาวิชาการบัญชี </t>
  </si>
  <si>
    <t xml:space="preserve">สาขาวิชาการตลาด </t>
  </si>
  <si>
    <t xml:space="preserve"> หลักสูตรสถาปัตยกรรมศาสตรบัณฑิต</t>
  </si>
  <si>
    <t xml:space="preserve"> สาขาวิชาสถาปัตยกรรม</t>
  </si>
  <si>
    <t>คิดเป็นร้อยละ</t>
  </si>
  <si>
    <t>ต้นทุนพัฒนา
นักศึกษา  
(นศ.(คน)/ปี)</t>
  </si>
  <si>
    <t>รวมสัดส่วนค่าใช้จ่าย</t>
  </si>
  <si>
    <t>ต้นทุนพัฒนา
อาจารย์บุคลากร
(นศ.(คน)/ปี)</t>
  </si>
  <si>
    <t>ต้นทุนพัฒนา
การเรียนการสอน
(นศ.(คน)/ปี)</t>
  </si>
  <si>
    <t>มหาวิทยาลัยเทคโนโลยีราชมงคลศรีวิชัย  (คชจ.ก่อนรับการปันส่วน)</t>
  </si>
  <si>
    <t>ต้นทุนเฉลี่ยวิทยาลัยรัตภูมิ ระดับปวส.</t>
  </si>
  <si>
    <t xml:space="preserve"> หลักสูตรสัตวแพทยศาสตร์บัณฑิต </t>
  </si>
  <si>
    <t>4. ศูนย์ฝึกวิชาชีพ  (วิทยาลัยฯ ตรัง)</t>
  </si>
  <si>
    <t>5. ฟาร์ม (คณะวิทย์ฯ ตรัง)</t>
  </si>
  <si>
    <t>สาขาวิชาวิศวกรรมคอมพิวเตอร์</t>
  </si>
  <si>
    <t>สาขาวิชาวิศวกรรมเครื่องจักรกลเกษตร</t>
  </si>
  <si>
    <t>สาขาวิชาการจัดการ-การจัดการทรัพยากรมนุษย์</t>
  </si>
  <si>
    <t>สาขาวิชาการจัดการ-การจัดการทั่วไป</t>
  </si>
  <si>
    <t>สาขาวิชาการจัดการ-การจัดการสำนักงานอิเล็กทรอนิกส์</t>
  </si>
  <si>
    <t>สาขาวิชาการจัดการ-การจัดการอุตสาหกรรม</t>
  </si>
  <si>
    <t xml:space="preserve"> สาขาวิชาการจัดการการตลาด</t>
  </si>
  <si>
    <t xml:space="preserve"> สาขาวิชาการจัดการการเป็นผู้ประกอบการ</t>
  </si>
  <si>
    <t xml:space="preserve"> สาขาวิชาการจัดการเทคโนโลยีสารสนเทศ</t>
  </si>
  <si>
    <t>สาขาวิชาเทคโนโลยียางและพอลิเมอร์</t>
  </si>
  <si>
    <t>สาขาวิชาการจัดการทรัพยากรและสิ่งแวดล้อม</t>
  </si>
  <si>
    <t>สาขาวิชาวิทยาศาสตร์ทางทะเล-ชีววิทยาทางทะเล</t>
  </si>
  <si>
    <t>สาขาวิชาวิทยาศาสตร์สิ่งแวดล้อม-วิทยาศาสตร์สิ่งแวดล้อม</t>
  </si>
  <si>
    <t>สาขาวิชาวิทยาศาสตร์และเทคโนโลยีสิ่งแวดล้อม</t>
  </si>
  <si>
    <t>สาขาวิชาการจัดการทรัพยากและสิ่งแวดล้อม</t>
  </si>
  <si>
    <t xml:space="preserve">สาขาวิชาเพาะเลี้ยงสัตว์น้ำ </t>
  </si>
  <si>
    <t xml:space="preserve">สาขาวิชาอุตสาหกรรมอาหาร </t>
  </si>
  <si>
    <t xml:space="preserve"> สาขาวิชาทัศนศิลป์</t>
  </si>
  <si>
    <t xml:space="preserve"> หลักสูตรครุศาสตร์อุตสาหกรรมบัณฑิต</t>
  </si>
  <si>
    <t>10.รวมพัฒนา
นักศึกษา</t>
  </si>
  <si>
    <t>(9)</t>
  </si>
  <si>
    <t>(5+8+10)</t>
  </si>
  <si>
    <t xml:space="preserve"> 14. คณะวิศวกรรมศาสตร์และเทคโนโลยี (ตรัง)</t>
  </si>
  <si>
    <t xml:space="preserve"> 15. วิทยาลัยเทคโนโลยีอุตสาหกรรมและการจัดการ (ขนอม) </t>
  </si>
  <si>
    <t>8. ฟาร์ม (ไสใหญ่)</t>
  </si>
  <si>
    <t>9. หอพัก (ไสใหญ่)</t>
  </si>
  <si>
    <t>10. โครงการฝึกทักษะวิชาชีพนักศึกษา (ไสใหญ่)</t>
  </si>
  <si>
    <t>11. หอพัก (ขนอม)</t>
  </si>
  <si>
    <t>5.รวมค่าใช้จ่ายเพื่อพัฒนาอาจารย์(1+2+3+4)</t>
  </si>
  <si>
    <t>8.รวมค่าใช้จ่ายเพื่อพัฒนาการเรียนการสอน(6+7)</t>
  </si>
  <si>
    <t>10.รวมค่าใช้จ่ายเพื่อพัฒนานักศึกษา</t>
  </si>
  <si>
    <t>รวมทั้งสิ้น
(5+8+10)</t>
  </si>
  <si>
    <t>ปวส.</t>
  </si>
  <si>
    <t>คณะวิศวกรรมศาสตร์และเทคโนโลยี</t>
  </si>
  <si>
    <t>วิทยาลัยรัตภูมิ</t>
  </si>
  <si>
    <t>สาขาวิชาวิทยาศาสตร์ทางทะเล</t>
  </si>
  <si>
    <t>สาขาวิชาวิศวกรรมสารสนเทศและการสื่อสาร</t>
  </si>
  <si>
    <t>สาขาวิชาวิศวกรรมไฟฟ้า</t>
  </si>
  <si>
    <t xml:space="preserve"> สาขาวิชาวิศกรรมเครื่องกลเรือ</t>
  </si>
  <si>
    <t>สาขาวิชาการจัดการ</t>
  </si>
  <si>
    <t>ต้นทุนเฉลี่ยคณะบริหารธุรกิจ-ระดับปริญญาโท</t>
  </si>
  <si>
    <t>ต้นทุนเฉลี่ยคณะเกษตรศาสตร์-ระดับปริญญาโท</t>
  </si>
  <si>
    <t>ต้นทุนเฉลี่ยคณะวิทยาศาสตร์และเทคโนโลยีการประมง-ระดับปริญญาโท</t>
  </si>
  <si>
    <t>ต้นทุนเฉลี่ยคณะวิศวกรรมศาสตร์-ระดับปริญญาโท</t>
  </si>
  <si>
    <t>ค่าใช้จ่าย
พัฒนาอาจารย์
บุคลากร</t>
  </si>
  <si>
    <t>ค่าใช้จ่าย
พัฒนาการเรียน
การสอน</t>
  </si>
  <si>
    <t>ค่าใช้จ่าย
พัฒนา
นักศึกษา</t>
  </si>
  <si>
    <t xml:space="preserve"> สาขาวิชาภาษาอังกฤษเพื่อการสื่อสาร</t>
  </si>
  <si>
    <t>สาขาวิชาวิศวกรรมก่อสร้าง</t>
  </si>
  <si>
    <t xml:space="preserve">สาขาวิชาระบบสารสนเทศทางธุรกิจ </t>
  </si>
  <si>
    <t>สาขาวิชาวิศวกรรมโยธา</t>
  </si>
  <si>
    <t xml:space="preserve"> สาขาวิชาเทคโนโลยีภูมิทัศน์ </t>
  </si>
  <si>
    <t>สาขาวิชาการจัดการประมงธุรกิจสัตว์น้ำ</t>
  </si>
  <si>
    <t xml:space="preserve">สาขาวิชาเทคโนโลยีเครื่องจักรกลเกษตร </t>
  </si>
  <si>
    <t xml:space="preserve">สาขาวิชาเทคโนโลยีคอมพิวเตอร์ </t>
  </si>
  <si>
    <t xml:space="preserve"> สาขาวิชาการจัดการธุรกิจขนาดกลางและขนาดย่อม </t>
  </si>
  <si>
    <t xml:space="preserve">สาขาวิชาวิศวกรรมโยธา </t>
  </si>
  <si>
    <t xml:space="preserve"> มหาวิทยาลัยเทคโนโลยีราชมงคลศรีวิชัย  </t>
  </si>
  <si>
    <t xml:space="preserve">        รหัสหน่วยเบิกจ่าย  2017100000 - 2017100005</t>
  </si>
  <si>
    <t xml:space="preserve">มหาวิทยาลัยเทคโนโลยีราชมงคลศรีวิชัย  </t>
  </si>
  <si>
    <t xml:space="preserve"> 1. คณะวิศวกรรมศาสตร์ </t>
  </si>
  <si>
    <t xml:space="preserve"> 2. คณะบริหารธุรกิจ</t>
  </si>
  <si>
    <t xml:space="preserve"> 3.  คณะศิลปศาสตร์ </t>
  </si>
  <si>
    <t xml:space="preserve"> 4. คณะสถาปัตย์</t>
  </si>
  <si>
    <t xml:space="preserve"> 5. คณะครุศาสตร์ฯ</t>
  </si>
  <si>
    <t xml:space="preserve"> 6. วิทยาลัยรัตภูมิ</t>
  </si>
  <si>
    <t>1. สำนักงานอธิการบดีและหน่วยงานในหน่วยเบิกจ่าย00</t>
  </si>
  <si>
    <t>2. ส่วนกลางสงขลา</t>
  </si>
  <si>
    <t>หน่วยงานหลัก</t>
  </si>
  <si>
    <t>ป.ตรี</t>
  </si>
  <si>
    <t>ป.โท</t>
  </si>
  <si>
    <t xml:space="preserve"> สาขาวิชาการจัดการนวัตกรรมทางการค้า</t>
  </si>
  <si>
    <t>สาขาวิชาการท่องเที่ยว</t>
  </si>
  <si>
    <t xml:space="preserve"> สาขาวิชาภาษาอังกฤษเพื่อสารสื่อนานาชาติ</t>
  </si>
  <si>
    <t>สาขาวิชาการจัดการนวัตกรรมทางธุรกิจ แขนงวิชาการจัดการนวัตกรรมการค้า</t>
  </si>
  <si>
    <t xml:space="preserve"> หลักสูตรวิทยาศาสตรบัณฑิต</t>
  </si>
  <si>
    <t>ขั้นตอนการคำนวณต้นทุนต่อหน่วยผลผลิต</t>
  </si>
  <si>
    <t xml:space="preserve">             ขั้นตอนการคำนวณต้นทุนต่อหน่วยหลักสูตร </t>
  </si>
  <si>
    <t>ตรวจประเมินโดยกรมบัญชีกลาง</t>
  </si>
  <si>
    <t xml:space="preserve">               ตรวจประเมินโดย สกอ.</t>
  </si>
  <si>
    <t>(มิติผลผลิต)</t>
  </si>
  <si>
    <t>(มิติสัดส่วนค่าใช้จ่าย)</t>
  </si>
  <si>
    <t xml:space="preserve"> 13. วิทยาลัยการโรงแรมและการท่องเที่ยว +สถานประกอบการ (ตรัง) </t>
  </si>
  <si>
    <t>รายละเอียดแสดงค่าใช้จ่ายของหน่วยงาน  แยกตามประเภทค่าใช้จ่ายและแหล่งของเงิน ปีงบประมาณ พ.ศ.2563</t>
  </si>
  <si>
    <t xml:space="preserve"> สาขาวิชาภาษาต่างประเทศเพื่อการสื่อสาร-ภาษาจีนเพื่อการสื่อสาร</t>
  </si>
  <si>
    <t xml:space="preserve"> สาขาวิชาภาษาต่างประเทศเพื่อการสื่อสาร-ภาษาอังกฤษเพื่อการสื่อสาร</t>
  </si>
  <si>
    <t>สาขาวิศวกรรมคอมพิวเตอร์และการสื่อสาร</t>
  </si>
  <si>
    <t>สาขาวิชาอุตสาหการ</t>
  </si>
  <si>
    <t>สาขาวิชาไฟฟ้า-อิเล็กทรอนิกส์และโทรคมนาคม</t>
  </si>
  <si>
    <t>สาขาวิชาไฟฟ้า-ไฟฟ้ากำลัง</t>
  </si>
  <si>
    <t>หลักสูตรครุศาสตร์อุตสาหกรรมบัณฑิต</t>
  </si>
  <si>
    <t>สาขาวิชาบัญชีบัณฑิต</t>
  </si>
  <si>
    <t xml:space="preserve">สาขาวิชาพัฒนาการเกษตรและการจัดการธุรกิจเกษตร </t>
  </si>
  <si>
    <t>มหาวิทยาลัยเทคโนโลยีราชมงคลศรีวิชัย</t>
  </si>
  <si>
    <t>ที่</t>
  </si>
  <si>
    <t>FTES</t>
  </si>
  <si>
    <t xml:space="preserve">คณะวิศวกรรมศาสตร์ </t>
  </si>
  <si>
    <t>คณะบริหารธุรกิจ</t>
  </si>
  <si>
    <t xml:space="preserve">คณะศิลปศาสตร์ </t>
  </si>
  <si>
    <t>คณะสถาปัตยกรรมศาสตร์</t>
  </si>
  <si>
    <t>คณะครุศาสตร์อุตสาหกรรมและเทคโนโลยี</t>
  </si>
  <si>
    <t>ระดับปวส.</t>
  </si>
  <si>
    <t>** จัดเรียงตามจำนวนักศึกษามากไปน้อยในแต่ละสาขาวิฃา</t>
  </si>
  <si>
    <t>ตารางแสดงรายละเอียดค่าใช้จ่ายของหน่วยงาน แยกตามประเภทค่าใช้จ่ายและแหล่งของเงิน ปีงปม. 2564</t>
  </si>
  <si>
    <t>รหัสหน่วยงาน D060 : มหาวิทยาลัยเทคโนโลยีราชมงคลศรีวิชัย</t>
  </si>
  <si>
    <t>หน่วยเบิกจ่าย/พื้นที่</t>
  </si>
  <si>
    <t>หน่วยงาน</t>
  </si>
  <si>
    <t>ค่าใช้จ่ายบุคลากร</t>
  </si>
  <si>
    <t>ค่าใช้จ่ายฝึกอบรม</t>
  </si>
  <si>
    <t>ค่าใช้ตอบแทนใช้สอยวัสดุและสาธารณูปโภค</t>
  </si>
  <si>
    <t>ค่าเสื่อมราคาและตัดจำหน่าย</t>
  </si>
  <si>
    <t>ค่าใช้จ่ายอุดหนุน</t>
  </si>
  <si>
    <t>ค่าใช้จ่ายอื่น</t>
  </si>
  <si>
    <t>2306000001/สงขลา</t>
  </si>
  <si>
    <t>คณะวิศวกรรมศาสตร์</t>
  </si>
  <si>
    <t>คณะศิลปศาสตร์</t>
  </si>
  <si>
    <t>2306000002/นคร-ขนอม</t>
  </si>
  <si>
    <t>วิทยาลัยเทคโนโลยีอุตสาหกรมและการจัดการ</t>
  </si>
  <si>
    <t>2306000003/นคร-ไสใหญ่</t>
  </si>
  <si>
    <t>คณะวิทยาศาสตร์และเทคโนโลยี</t>
  </si>
  <si>
    <t>คณะเกษตรศาสตร์</t>
  </si>
  <si>
    <t>คณะเทคโนโลยีการจัดการ</t>
  </si>
  <si>
    <t>2306000004/นคร-ทุ่งใหญ่</t>
  </si>
  <si>
    <t>คณะอุตสาหกรรมเกษตร</t>
  </si>
  <si>
    <t>คณะสัตวแพทยศาสตร์</t>
  </si>
  <si>
    <t>2306000005/ตรัง</t>
  </si>
  <si>
    <t>คณะวิทยาศาสตร์และเทคโนโลยีการประมง</t>
  </si>
  <si>
    <t>วิทยาลัยการโรงแรมและการท่องเที่ยว</t>
  </si>
  <si>
    <t xml:space="preserve">รวม </t>
  </si>
  <si>
    <t>หน่วยงานสนับสนุน</t>
  </si>
  <si>
    <t>2306000000/สงขลา</t>
  </si>
  <si>
    <t>สำนักงานอธิการบดี และหน่วยงานในหน่วยเบิกจ่าย 00</t>
  </si>
  <si>
    <t>ส่วนกลางสงขลา</t>
  </si>
  <si>
    <t xml:space="preserve">สำนักงานวิทยาเขตนครศรีธรรมราช (ไสใหญ่) </t>
  </si>
  <si>
    <t xml:space="preserve">สำนักงานวิทยาเขตนครศรีธรรมราช (ทุ่งใหญ่) </t>
  </si>
  <si>
    <t xml:space="preserve">สำนักงานวิทยาเขตตรัง </t>
  </si>
  <si>
    <t>สถาบันวิจัยและพัฒนา  (ตรัง)</t>
  </si>
  <si>
    <t>สถาบันทรัพยากรธรรมชาติและสิ่งแวดล้อม (ตรัง)</t>
  </si>
  <si>
    <t>รวมหน่วยงานหลักและหน่วยงานสนับสนุน</t>
  </si>
  <si>
    <r>
      <t xml:space="preserve">ค่าใช้จ่ายที่ไม่เกี่ยวข้องกับการผลิตผลผลิต </t>
    </r>
    <r>
      <rPr>
        <sz val="16"/>
        <color indexed="8"/>
        <rFont val="TH SarabunPSK"/>
        <family val="2"/>
      </rPr>
      <t>(สามารถเพิ่มเติมได้)</t>
    </r>
  </si>
  <si>
    <t>โครงการจัดตั้งศูนย์พัฒนาการเกษตรศรีวิชัย</t>
  </si>
  <si>
    <t>งานหอพัก</t>
  </si>
  <si>
    <t>งานฝึกทักษะวิชาชีพนักศึกษา</t>
  </si>
  <si>
    <t>งานฟาร์ม</t>
  </si>
  <si>
    <t>งานฝึกทักษะวิชาชีพนักศึกษา คณะสัตวแพทยศาสตร์</t>
  </si>
  <si>
    <t>งานฟาร์ม คณะเกษตรศาสตร์</t>
  </si>
  <si>
    <t>รวมค่าใช้จ่ายที่ไม่เกี่ยวข้องกับการผลิตผลผลิต</t>
  </si>
  <si>
    <t xml:space="preserve">ค่าใช้จ่ายบุคลากร แหล่งเงินงบกลาง(กรมบัญชีกลาง) หมายถึง ค่าใช้จ่ายที่เบิกตรงจากกรมบัญชีกลางส่วนของข้าราชการและลูกจ้างประจำ </t>
  </si>
  <si>
    <t>ไสใหญ่</t>
  </si>
  <si>
    <t>กรณีการเบิกจ่ายจากกองทุนพนักงานมหาวิทยาลัยฯ จะต้องรวมไว้ในเงินนอกงบประมาณ</t>
  </si>
  <si>
    <t xml:space="preserve">      ขอรับรองว่าข้อมูลดังกล่าวได้รับการตรวจสอบและมีความถูกต้องครบถ้วนเรียบร้อยแล้ว</t>
  </si>
  <si>
    <t>ลงชื่อ.....................................................................</t>
  </si>
  <si>
    <t>ลงชื่อ.........................................................................</t>
  </si>
  <si>
    <t>ตำแหน่ง.............หัวหน้างานบัญชี.................</t>
  </si>
  <si>
    <t>ตำแหน่ง............หัวหน้าหน่วยเบิกจ่าย..............</t>
  </si>
  <si>
    <t>1.ค่าใช้จ่ายบุคลากร</t>
  </si>
  <si>
    <t>2.ค่าใช้จ่ายฝึกอบรม</t>
  </si>
  <si>
    <t>4.ค่าใช้จ่ายอุดหนุน</t>
  </si>
  <si>
    <t>6.ค่าใช้ตอบแทนใช้สอยวัสดุและสาธารณูปโภค</t>
  </si>
  <si>
    <t>7.ค่าเสื่อมราคาและตัดจำหน่าย</t>
  </si>
  <si>
    <t>9.ค่าใช้จ่ายอื่น</t>
  </si>
  <si>
    <t>10.รวมค่าใช้จ่ายเพื่อพัฒนานักศึกษา(9)</t>
  </si>
  <si>
    <t>FTES 
ปีงปม.64</t>
  </si>
  <si>
    <t>รหัสหน่วยเบิกจ่าย........2306000000 - 2306000005..........</t>
  </si>
  <si>
    <t>สรุปค่า FTES แยกตามผลผลิต (คณะที่นักศึกษาสังกัด)</t>
  </si>
  <si>
    <t>ข้อมูล ณ วันที่ 21-01-2022</t>
  </si>
  <si>
    <t>วิทยาศาสตร์และเทคโนโลยี</t>
  </si>
  <si>
    <t>ลำดับ</t>
  </si>
  <si>
    <t>คณะ/สาขา ที่ นศ.สังกัด</t>
  </si>
  <si>
    <t>ปีการศึกษา 2564</t>
  </si>
  <si>
    <t>ปีงบประมาณ 2564</t>
  </si>
  <si>
    <t>ปริญญาตรี</t>
  </si>
  <si>
    <t>ปริญญาโท</t>
  </si>
  <si>
    <t>ภาคปกติ</t>
  </si>
  <si>
    <t>ภาคสมทบ</t>
  </si>
  <si>
    <t>จำนวน นศ.</t>
  </si>
  <si>
    <t>ค่า FTES</t>
  </si>
  <si>
    <t>การแพทย์แผนไทย</t>
  </si>
  <si>
    <t>ชีววิทยาประยุกต์</t>
  </si>
  <si>
    <t>ภาษาอังกฤษเพื่อการสื่อสาร</t>
  </si>
  <si>
    <t>เทคโนโลยีการยาง</t>
  </si>
  <si>
    <t>เทคโนโลยีน้ำมันปาล์มและโอลิโอเคมี</t>
  </si>
  <si>
    <t>เทคโนโลยียางและพอลิเมอร์</t>
  </si>
  <si>
    <t>เทคโนโลยีสารสนเทศ</t>
  </si>
  <si>
    <t>เทคโนโลยีอุตสาหการ</t>
  </si>
  <si>
    <t>เกษตรศาสตร์</t>
  </si>
  <si>
    <t>การเพาะเลี้ยงสัตว์น้ำและการจัดการทรัพยากรประมง</t>
  </si>
  <si>
    <t>ธุรกิจเกษตร</t>
  </si>
  <si>
    <t>ประมง</t>
  </si>
  <si>
    <t>พัฒนาการเกษตรและการจัดการธุรกิจเกษตร</t>
  </si>
  <si>
    <t>พืชศาสตร์</t>
  </si>
  <si>
    <t>พืชสวนประดับและภูมิทัศน์</t>
  </si>
  <si>
    <t>สัตวศาสตร์</t>
  </si>
  <si>
    <t>เกษตรอัจฉริยะ</t>
  </si>
  <si>
    <t>เทคโนโลยีการผลิตพืช</t>
  </si>
  <si>
    <t>เทคโนโลยีภูมิทัศน์</t>
  </si>
  <si>
    <t>เทคโนโลยีเครื่องจักรกลเกษตร</t>
  </si>
  <si>
    <t>เทคโนโลยีเพาะเลี้ยงสัตว์น้ำ</t>
  </si>
  <si>
    <t>เทคโนโลยีการจัดการ</t>
  </si>
  <si>
    <t>การจัดการ</t>
  </si>
  <si>
    <t>การจัดการการตลาด</t>
  </si>
  <si>
    <t>การจัดการการเป็นผู้ประกอบการ</t>
  </si>
  <si>
    <t>การจัดการธุรกิจดิจิทัล</t>
  </si>
  <si>
    <t>การจัดการนวัตกรรมทางการค้า</t>
  </si>
  <si>
    <t>การจัดการเทคโนโลยีสารสนเทศ</t>
  </si>
  <si>
    <t>การจัดการโลจิสติกส์</t>
  </si>
  <si>
    <t>การตลาด</t>
  </si>
  <si>
    <t>การบัญชี</t>
  </si>
  <si>
    <t>การเงิน</t>
  </si>
  <si>
    <t>นักศึกษาลงทะเบียนข้ามวิทยาเขต</t>
  </si>
  <si>
    <t>สัตวแพทยศาสตร์</t>
  </si>
  <si>
    <t>อุตสาหกรรมเกษตร (วิทยาเขตนครศรีธรรมราช ทุ่งใหญ่)</t>
  </si>
  <si>
    <t>การจัดการอาหารและบริการ</t>
  </si>
  <si>
    <t>การจัดการอุตสาหกรรมอาหารและบริการ</t>
  </si>
  <si>
    <t>วิทยาศาสตร์และเทคโนโลยีการอาหาร</t>
  </si>
  <si>
    <t>เกษตรศาสตร์ (วิทยาเขตนครศรีธรรมราช ทุ่งใหญ่)</t>
  </si>
  <si>
    <t>วิทยาลัยเทคโนโลยีอุตสาหกรรมและการจัดการ</t>
  </si>
  <si>
    <t>การเป็นผู้ประกอบการดิจิทัล</t>
  </si>
  <si>
    <t>การโรงแรมและการท่องเที่ยว</t>
  </si>
  <si>
    <t>ระบบสารสนเทศทางธุรกิจ</t>
  </si>
  <si>
    <t>วิศวกรรมโยธา</t>
  </si>
  <si>
    <t>วิศวกรรมไฟฟ้า</t>
  </si>
  <si>
    <t>การจัดการทรัพยากรและสิ่งแวดล้อม</t>
  </si>
  <si>
    <t>การจัดการประมงและธุรกิจสัตว์น้ำ</t>
  </si>
  <si>
    <t>วิทยาศาสตร์ทางทะเล</t>
  </si>
  <si>
    <t>วิทยาศาสตร์ทางทะเล-ชีววิทยาทางทะเล</t>
  </si>
  <si>
    <t>วิทยาศาสตร์สิ่งแวดล้อม-วิทยาศาสตร์สิ่งเเวดล้อม</t>
  </si>
  <si>
    <t>วิทยาศาสตร์และเทคโนโลยีสิ่งแวดล้อม</t>
  </si>
  <si>
    <t>อุตสาหกรรมอาหาร</t>
  </si>
  <si>
    <t>เพาะเลี้ยงสัตว์น้ำ</t>
  </si>
  <si>
    <t>วิศวกรรมก่อสร้าง</t>
  </si>
  <si>
    <t>วิศวกรรมคอมพิวเตอร์และการสื่อสาร</t>
  </si>
  <si>
    <t>วิศวกรรมสารสนเทศและการสื่อสาร</t>
  </si>
  <si>
    <t>เทคโนโลยีคอมพิวเตอร์</t>
  </si>
  <si>
    <t>การจัดการนวัตกรรมทางธุรกิจ-วิชาการจัดการนวัตกรรม</t>
  </si>
  <si>
    <t>การจัดการนวัตกรรมทางธุรกิจ-วิชาการจัดการนวัตกรรมการค้า</t>
  </si>
  <si>
    <t>การท่องเที่ยว</t>
  </si>
  <si>
    <t>ภาษาอังกฤษเพื่อการสื่อสารนานาชาติ</t>
  </si>
  <si>
    <t>ครุศาสตร์อุตสาหกรรม</t>
  </si>
  <si>
    <t>วิศวกรรมอุตสาหการ-เครื่องมือกล</t>
  </si>
  <si>
    <t>ครุศาสตร์อุตสาหกรรมและเทคโนโลยี</t>
  </si>
  <si>
    <t>ระบบโทรคมนาคมและเครือข่าย</t>
  </si>
  <si>
    <t>วิศวกรรมอิเล็กทรอนิกส์และโทรคมนาคม</t>
  </si>
  <si>
    <t>วิศวกรรมอุตสาหการ</t>
  </si>
  <si>
    <t>วิศวกรรมแมคคาทรอนิกส์</t>
  </si>
  <si>
    <t>อุตสาหการ</t>
  </si>
  <si>
    <t>เทคโนโลยีปิโตรเลียม</t>
  </si>
  <si>
    <t>เทคโนโลยีสื่อสารมวลชน</t>
  </si>
  <si>
    <t>ไฟฟ้า-อิเล็กทรอนิกส์และโทรคมนาคม</t>
  </si>
  <si>
    <t>ไฟฟ้า-ไฟฟ้ากำลัง</t>
  </si>
  <si>
    <t>บริหารธุรกิจ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</si>
  <si>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</si>
  <si>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</si>
  <si>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</si>
  <si>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การจัดการ-การจัดการสำนักงานอิเล็กทรอนิกส์</t>
  </si>
  <si>
    <t>การจัดการ-การจัดการอุตสาหกรรม</t>
  </si>
  <si>
    <t>การจัดการธุรกิจขนาดกลางและขนาดย่อม</t>
  </si>
  <si>
    <t>การบัญชี-การบัญชีทั่วไป</t>
  </si>
  <si>
    <t>วิศวกรรมศาสตร์</t>
  </si>
  <si>
    <t>วิศวกรรมการผลิต</t>
  </si>
  <si>
    <t>วิศวกรรมคอมพิวเตอร์</t>
  </si>
  <si>
    <t>วิศวกรรมสำรวจ</t>
  </si>
  <si>
    <t>วิศวกรรมอิเล็กทรอนิกส์</t>
  </si>
  <si>
    <t>วิศวกรรมเครื่องกล</t>
  </si>
  <si>
    <t>วิศวกรรมเครื่องกลเรือ</t>
  </si>
  <si>
    <t>วิศวกรรมเครื่องนุ่งห่ม</t>
  </si>
  <si>
    <t>วิศวกรรมโทรคมนาคม</t>
  </si>
  <si>
    <t>วิศวกรรมโยธา-วิศวกรรมโยธาระบบราง</t>
  </si>
  <si>
    <t>เทคโนโลยีเครื่องกล</t>
  </si>
  <si>
    <t>ศิลปศาสตร์</t>
  </si>
  <si>
    <t>การโรงแรม</t>
  </si>
  <si>
    <t>ธุรกิจคหกรรมศาสตร์</t>
  </si>
  <si>
    <t>ภาษาต่างประเทศเพื่อการสื่อสาร-ภาษาจีนเพื่อการสื่อสาร</t>
  </si>
  <si>
    <t>ภาษาต่างประเทศเพื่อการสื่อสาร-ภาษาอังกฤษเพื่อการสื่อสาร</t>
  </si>
  <si>
    <t>ภาษาอังกฤษเพื่อการสื่อสารสากล</t>
  </si>
  <si>
    <t>อาหารและโภชนาการ</t>
  </si>
  <si>
    <t>อาหารและโภชนาการ-พัฒนาผลิตภัณฑ์</t>
  </si>
  <si>
    <t>สถาปัตยกรรมศาสตร์</t>
  </si>
  <si>
    <t>การผังเมือง</t>
  </si>
  <si>
    <t>การออกแบบแฟชั่นและสิ่งทอ</t>
  </si>
  <si>
    <t>จิตรกรรม</t>
  </si>
  <si>
    <t>ทัศนศิลป์</t>
  </si>
  <si>
    <t>สถาปัตยกรรม</t>
  </si>
  <si>
    <t>บัญชีบัณฑิต</t>
  </si>
  <si>
    <t>วิศวกรรมเครื่องจักรกลเกษตร</t>
  </si>
  <si>
    <t>คอมพิวเตอร์ธุรกิจ</t>
  </si>
  <si>
    <t>ช่างยนต์</t>
  </si>
  <si>
    <t>ช่างไฟฟ้า</t>
  </si>
  <si>
    <t xml:space="preserve"> ต้นทุนคณะเฉลี่ย  สัดส่วนค่าใช้จ่ายเพื่อพัฒนานักศึกษา อาจารย์ บุคลากร การจัดการเรียนการสอน  ปีงปม.2564</t>
  </si>
  <si>
    <t xml:space="preserve"> จำนวน นศ. 
ปี 64</t>
  </si>
  <si>
    <t xml:space="preserve"> FTES 
ปี 64</t>
  </si>
  <si>
    <t xml:space="preserve"> สาขาวิชาการธุรกิจดิจิทัล</t>
  </si>
  <si>
    <t>สาขาวิชาการจัดการนวัตกรรมทางธุรกิจ แขนงวิชาการจัดการนวัตกรรม</t>
  </si>
  <si>
    <t xml:space="preserve">สาขาวิชาธุรกิจเกษตร </t>
  </si>
  <si>
    <t xml:space="preserve">สาขาวิชาเกษตรอัจฉริยะ </t>
  </si>
  <si>
    <t xml:space="preserve"> สาขาวิชาพืชสวนประดับและภูมิทัศน์ </t>
  </si>
  <si>
    <t>สาขาวิชาการโรงแรมและท่องเที่ยว</t>
  </si>
  <si>
    <t>สาขาวิชาระบบโทรคมนาคมและเครือข่าย</t>
  </si>
  <si>
    <t>สรุปค่า FTES ประจำปีงบประมาณ พ.ศ.2564</t>
  </si>
  <si>
    <t>หน่วยเบิกจ่าย / พื้นที่</t>
  </si>
  <si>
    <t>2306000001 / สงขลา</t>
  </si>
  <si>
    <t>2306000005 / ตรัง</t>
  </si>
  <si>
    <t>2306000002 / นคร-ขนอม</t>
  </si>
  <si>
    <t xml:space="preserve">คณะเกษตรศาสตร์ </t>
  </si>
  <si>
    <t>2306000003 / นคร-ไสใหญ่</t>
  </si>
  <si>
    <t>2306000004 / นคร-ทุ่งใหญ่</t>
  </si>
  <si>
    <t xml:space="preserve">คณะเทคโนโลยีการจัดการ </t>
  </si>
  <si>
    <t>นศ.</t>
  </si>
  <si>
    <t xml:space="preserve"> สาขาวิชาการจัดการอุตสาหกรรมอาหารและบริการ</t>
  </si>
  <si>
    <t xml:space="preserve"> ต้นทุนหลักสูตรเฉลี่ย  สัดส่วนค่าใช้จ่ายเพื่อพัฒนานักศึกษา อาจารย์ บุคลากร การจัดการเรียนการสอน  ปีงปม.2564</t>
  </si>
  <si>
    <t>หลักสูตรบริหารธุรกิจบัณฑิต</t>
  </si>
  <si>
    <t>หลักสูตรศิลปศาสตรบัณฑิต</t>
  </si>
  <si>
    <t>หลักสูตรคหกรรมศาสตร์</t>
  </si>
  <si>
    <t>หลักสูตรวิทยาศาสตรบัณฑิต</t>
  </si>
  <si>
    <t>หลักสูตรวิทยาศาสตรมหาบัณฑิต</t>
  </si>
  <si>
    <t>หลักสูตรวิศวกรรมศาสตรมหาบัณฑิต</t>
  </si>
  <si>
    <t>หลักสูตรวิศวกรรมศาสตร์บัณฑิต</t>
  </si>
  <si>
    <t>หลักสูตรอุตสาหกรรมศาสตรบัณฑิต</t>
  </si>
  <si>
    <t>หลักสูตรสถาปัตยกรรมศาสตร์บัณฑิต</t>
  </si>
  <si>
    <t>หลักสูตรศิลปบัณฑิต</t>
  </si>
  <si>
    <t>หลักสูตรบริหารธุรกิจมหาบัณฑิต</t>
  </si>
  <si>
    <t>หลักสูตรการแพทย์แผนไทยบัณฑิต</t>
  </si>
  <si>
    <t>หลักสูตรสัตวแพทยศาสตร์บัณฑิต</t>
  </si>
  <si>
    <t xml:space="preserve"> ต้นทุนต่อ
หลักสูตรสาขา 
(นศ.(คน)/ปี)</t>
  </si>
  <si>
    <t xml:space="preserve"> สาขาวิชาการตลาด </t>
  </si>
  <si>
    <t xml:space="preserve"> สาขาวิชาการตลาด</t>
  </si>
  <si>
    <t xml:space="preserve"> สาขาวิชาการบัญชี</t>
  </si>
  <si>
    <t xml:space="preserve"> สาขาวิชาคอมพิวเตอร์ธุรกิจ</t>
  </si>
  <si>
    <t xml:space="preserve"> สาขาวิชาช่างยนต์</t>
  </si>
  <si>
    <t xml:space="preserve"> สาขาวิชาช่างไฟฟ้า</t>
  </si>
  <si>
    <t xml:space="preserve"> สาขาวิชาการจัดการ-การจัดการทรัพยากรมนุษย์</t>
  </si>
  <si>
    <t xml:space="preserve"> สาขาวิชาการจัดการ-การจัดการทั่วไป</t>
  </si>
  <si>
    <t xml:space="preserve"> สาขาวิชาการจัดการ-การจัดการสำนักงานอิเล็กทรอนิกส์</t>
  </si>
  <si>
    <t xml:space="preserve"> สาขาวิชาการจัดการ-การจัดการอุตสาหกรรม</t>
  </si>
  <si>
    <t xml:space="preserve"> สาขาวิชาระบบสารสนเทศทางธุรกิจ</t>
  </si>
  <si>
    <t xml:space="preserve"> สาขาวิชาการเงิน</t>
  </si>
  <si>
    <t xml:space="preserve"> สาขาวิชาระบบโทรคมนาคมและเครือข่าย</t>
  </si>
  <si>
    <t xml:space="preserve"> สาขาวิชาอุตสาหการ</t>
  </si>
  <si>
    <t xml:space="preserve"> สาขาวิชาไฟฟ้า-อิเล็กทรอนิกส์และโทรคมนาคม</t>
  </si>
  <si>
    <t xml:space="preserve"> สาขาวิชาไฟฟ้า-ไฟฟ้ากำลัง</t>
  </si>
  <si>
    <t xml:space="preserve"> สาขาวิชาการจัดการนวัตกรรมทางธุรกิจ แขนงวิชาการจัดการนวัตกรรมการค้า</t>
  </si>
  <si>
    <t xml:space="preserve"> สาขาวิชาการจัดการนวัตกรรมทางธุรกิจ แขนงวิชาการจัดการนวัตกรรม</t>
  </si>
  <si>
    <t xml:space="preserve"> สาขาวิชาการจัดการ</t>
  </si>
  <si>
    <t xml:space="preserve"> สาขาวิชาระบบสารสนเทศทางธุรกิจ </t>
  </si>
  <si>
    <t>รายละเอียดแสดงค่าใช้จ่ายของหน่วยงาน เพื่อจัดทำต้นทุนต่อหน่วยหลักสูตร ปีงบประมาณ พ.ศ.2564</t>
  </si>
  <si>
    <t xml:space="preserve"> ต้นทุนต่อหลักสูตร
สาขา
(นศ.(คน)/ปี)</t>
  </si>
  <si>
    <t>หลักสูตรอุตสาหกรรมศาสตร์บัณฑิต</t>
  </si>
  <si>
    <t xml:space="preserve">หลักสูตรบัญชีบัณฑิต </t>
  </si>
  <si>
    <t>สาขาวิชาการจัดการประมงและธุรกิจสัตว์น้ำ</t>
  </si>
  <si>
    <t xml:space="preserve"> สาขาวิชาภาษาอังกฤษเพื่อการสื่อสารนานาชาติ</t>
  </si>
  <si>
    <t xml:space="preserve"> สาขาวิชาวิศวกรรมไฟฟ้า</t>
  </si>
  <si>
    <t xml:space="preserve"> สาขาวิชาวิศวกรรมโยธา</t>
  </si>
  <si>
    <t xml:space="preserve"> สาขาวิชาการท่องเที่ยว</t>
  </si>
  <si>
    <t xml:space="preserve"> สาขาวิชาเทคโนโลยีคอมพิวเตอร์</t>
  </si>
  <si>
    <t xml:space="preserve"> สาขาวิชาเพาะเลี้ยงสัตว์น้ำ </t>
  </si>
  <si>
    <t xml:space="preserve"> สาขาวิชาพัฒนาการเกษตรและการจัดการธุรกิจเกษตร </t>
  </si>
  <si>
    <t xml:space="preserve"> สาขาวิชาการโรงแรมและท่องเที่ยว</t>
  </si>
  <si>
    <t xml:space="preserve"> สาขาวิศวกรรมคอมพิวเตอร์และการสื่อสาร</t>
  </si>
  <si>
    <t>หลักสูตรวิทยาศาสตร์บัณฑิต</t>
  </si>
  <si>
    <t>สาขาวิทยาศาสตร์และเทคโนโลยีการอาหาร</t>
  </si>
  <si>
    <t>สาขาการจัดการอาหารและบริการ</t>
  </si>
  <si>
    <t>หลักสูตรคหกรรมศาสตรบัณฑิต</t>
  </si>
  <si>
    <t>หลักสูตรคหกรรมศาสตร์บัณฑิต</t>
  </si>
  <si>
    <t>สาขาวิชาวิทยาศาสตร์และเทคโนโลยีการอาหาร</t>
  </si>
  <si>
    <t>สาขาวิชาการจัดการอาหารและบริการ</t>
  </si>
  <si>
    <t>สาขาวิชาการจัดการอุตสาหกรรมอาหารและบริการ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</si>
</sst>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#,##0.00_ ;\-#,##0.00\ "/>
    <numFmt numFmtId="200" formatCode="_-* #,##0.0000_-;\-* #,##0.0000_-;_-* &quot;-&quot;??_-;_-@_-"/>
    <numFmt numFmtId="201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4"/>
      <name val="TH SarabunPSK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sz val="11"/>
      <color indexed="9"/>
      <name val="Tahoma"/>
      <family val="2"/>
    </font>
    <font>
      <u val="single"/>
      <sz val="9.9"/>
      <color indexed="20"/>
      <name val="Tahoma"/>
      <family val="2"/>
    </font>
    <font>
      <u val="single"/>
      <sz val="9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  <font>
      <b/>
      <u val="single"/>
      <sz val="16"/>
      <color indexed="8"/>
      <name val="TH SarabunPSK"/>
      <family val="0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4"/>
      <color rgb="FF000000"/>
      <name val="TH SarabunPSK"/>
      <family val="2"/>
    </font>
    <font>
      <sz val="18"/>
      <color rgb="FF000000"/>
      <name val="TH SarabunPSK"/>
      <family val="2"/>
    </font>
    <font>
      <b/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43" fontId="6" fillId="33" borderId="10" xfId="33" applyFont="1" applyFill="1" applyBorder="1" applyAlignment="1">
      <alignment vertical="center"/>
    </xf>
    <xf numFmtId="43" fontId="2" fillId="33" borderId="0" xfId="33" applyFont="1" applyFill="1" applyAlignment="1">
      <alignment horizontal="center" vertical="center"/>
    </xf>
    <xf numFmtId="43" fontId="2" fillId="33" borderId="0" xfId="33" applyFont="1" applyFill="1" applyBorder="1" applyAlignment="1">
      <alignment vertical="center"/>
    </xf>
    <xf numFmtId="43" fontId="2" fillId="33" borderId="0" xfId="33" applyFont="1" applyFill="1" applyAlignment="1">
      <alignment vertical="center"/>
    </xf>
    <xf numFmtId="43" fontId="5" fillId="33" borderId="0" xfId="33" applyFont="1" applyFill="1" applyBorder="1" applyAlignment="1">
      <alignment vertical="center"/>
    </xf>
    <xf numFmtId="43" fontId="6" fillId="33" borderId="0" xfId="33" applyFont="1" applyFill="1" applyBorder="1" applyAlignment="1">
      <alignment vertical="center"/>
    </xf>
    <xf numFmtId="43" fontId="2" fillId="33" borderId="10" xfId="33" applyFont="1" applyFill="1" applyBorder="1" applyAlignment="1">
      <alignment horizontal="left" vertical="center"/>
    </xf>
    <xf numFmtId="43" fontId="6" fillId="33" borderId="11" xfId="33" applyFont="1" applyFill="1" applyBorder="1" applyAlignment="1">
      <alignment vertical="center"/>
    </xf>
    <xf numFmtId="43" fontId="5" fillId="33" borderId="12" xfId="33" applyFont="1" applyFill="1" applyBorder="1" applyAlignment="1">
      <alignment vertical="center"/>
    </xf>
    <xf numFmtId="43" fontId="6" fillId="33" borderId="13" xfId="33" applyFont="1" applyFill="1" applyBorder="1" applyAlignment="1">
      <alignment vertical="center"/>
    </xf>
    <xf numFmtId="43" fontId="6" fillId="33" borderId="10" xfId="33" applyFont="1" applyFill="1" applyBorder="1" applyAlignment="1">
      <alignment horizontal="center" vertical="center"/>
    </xf>
    <xf numFmtId="43" fontId="6" fillId="33" borderId="10" xfId="33" applyFont="1" applyFill="1" applyBorder="1" applyAlignment="1">
      <alignment horizontal="left" vertical="center"/>
    </xf>
    <xf numFmtId="43" fontId="5" fillId="33" borderId="14" xfId="33" applyFont="1" applyFill="1" applyBorder="1" applyAlignment="1">
      <alignment horizontal="center" vertical="center"/>
    </xf>
    <xf numFmtId="43" fontId="6" fillId="33" borderId="0" xfId="33" applyFont="1" applyFill="1" applyAlignment="1">
      <alignment vertical="center"/>
    </xf>
    <xf numFmtId="43" fontId="6" fillId="33" borderId="0" xfId="33" applyFont="1" applyFill="1" applyAlignment="1">
      <alignment horizontal="center" vertical="center"/>
    </xf>
    <xf numFmtId="43" fontId="5" fillId="33" borderId="15" xfId="33" applyFont="1" applyFill="1" applyBorder="1" applyAlignment="1">
      <alignment horizontal="center" vertical="center"/>
    </xf>
    <xf numFmtId="43" fontId="6" fillId="33" borderId="15" xfId="33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3" fontId="4" fillId="33" borderId="0" xfId="33" applyFont="1" applyFill="1" applyBorder="1" applyAlignment="1">
      <alignment vertical="center"/>
    </xf>
    <xf numFmtId="43" fontId="5" fillId="33" borderId="0" xfId="33" applyFont="1" applyFill="1" applyAlignment="1">
      <alignment vertical="center"/>
    </xf>
    <xf numFmtId="43" fontId="6" fillId="33" borderId="16" xfId="33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3" fontId="8" fillId="33" borderId="10" xfId="33" applyFont="1" applyFill="1" applyBorder="1" applyAlignment="1">
      <alignment horizontal="center" vertical="center" wrapText="1"/>
    </xf>
    <xf numFmtId="43" fontId="6" fillId="33" borderId="10" xfId="33" applyFont="1" applyFill="1" applyBorder="1" applyAlignment="1">
      <alignment/>
    </xf>
    <xf numFmtId="43" fontId="6" fillId="33" borderId="0" xfId="33" applyFont="1" applyFill="1" applyBorder="1" applyAlignment="1">
      <alignment/>
    </xf>
    <xf numFmtId="0" fontId="60" fillId="33" borderId="0" xfId="0" applyFont="1" applyFill="1" applyAlignment="1">
      <alignment/>
    </xf>
    <xf numFmtId="43" fontId="60" fillId="33" borderId="0" xfId="33" applyFont="1" applyFill="1" applyAlignment="1">
      <alignment/>
    </xf>
    <xf numFmtId="43" fontId="7" fillId="33" borderId="10" xfId="33" applyFont="1" applyFill="1" applyBorder="1" applyAlignment="1">
      <alignment vertical="center"/>
    </xf>
    <xf numFmtId="43" fontId="7" fillId="33" borderId="13" xfId="33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94" fontId="6" fillId="33" borderId="0" xfId="0" applyNumberFormat="1" applyFont="1" applyFill="1" applyBorder="1" applyAlignment="1">
      <alignment vertical="center"/>
    </xf>
    <xf numFmtId="43" fontId="5" fillId="34" borderId="17" xfId="33" applyFont="1" applyFill="1" applyBorder="1" applyAlignment="1">
      <alignment horizontal="center" vertical="center" wrapText="1"/>
    </xf>
    <xf numFmtId="43" fontId="6" fillId="33" borderId="11" xfId="33" applyFont="1" applyFill="1" applyBorder="1" applyAlignment="1">
      <alignment horizontal="left" vertical="center"/>
    </xf>
    <xf numFmtId="43" fontId="5" fillId="35" borderId="18" xfId="33" applyFont="1" applyFill="1" applyBorder="1" applyAlignment="1">
      <alignment horizontal="center" vertical="center"/>
    </xf>
    <xf numFmtId="43" fontId="6" fillId="0" borderId="10" xfId="33" applyFont="1" applyFill="1" applyBorder="1" applyAlignment="1">
      <alignment horizontal="left" vertical="center"/>
    </xf>
    <xf numFmtId="43" fontId="6" fillId="0" borderId="11" xfId="33" applyFont="1" applyFill="1" applyBorder="1" applyAlignment="1">
      <alignment horizontal="left" vertical="center"/>
    </xf>
    <xf numFmtId="43" fontId="5" fillId="36" borderId="0" xfId="33" applyFont="1" applyFill="1" applyBorder="1" applyAlignment="1">
      <alignment vertical="center"/>
    </xf>
    <xf numFmtId="43" fontId="7" fillId="33" borderId="13" xfId="33" applyFont="1" applyFill="1" applyBorder="1" applyAlignment="1">
      <alignment horizontal="left" vertical="center"/>
    </xf>
    <xf numFmtId="43" fontId="59" fillId="0" borderId="0" xfId="33" applyFont="1" applyAlignment="1">
      <alignment/>
    </xf>
    <xf numFmtId="43" fontId="6" fillId="33" borderId="13" xfId="33" applyFont="1" applyFill="1" applyBorder="1" applyAlignment="1">
      <alignment/>
    </xf>
    <xf numFmtId="43" fontId="5" fillId="33" borderId="0" xfId="33" applyFont="1" applyFill="1" applyBorder="1" applyAlignment="1">
      <alignment/>
    </xf>
    <xf numFmtId="43" fontId="59" fillId="0" borderId="10" xfId="33" applyFont="1" applyBorder="1" applyAlignment="1">
      <alignment horizontal="center" vertical="center"/>
    </xf>
    <xf numFmtId="43" fontId="59" fillId="0" borderId="10" xfId="33" applyFont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43" fontId="5" fillId="34" borderId="10" xfId="33" applyFont="1" applyFill="1" applyBorder="1" applyAlignment="1">
      <alignment horizontal="center" vertical="center" wrapText="1"/>
    </xf>
    <xf numFmtId="43" fontId="5" fillId="33" borderId="0" xfId="33" applyFont="1" applyFill="1" applyAlignment="1">
      <alignment/>
    </xf>
    <xf numFmtId="43" fontId="5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3" fontId="5" fillId="33" borderId="14" xfId="33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vertical="center"/>
    </xf>
    <xf numFmtId="43" fontId="6" fillId="33" borderId="19" xfId="33" applyFont="1" applyFill="1" applyBorder="1" applyAlignment="1">
      <alignment vertical="center"/>
    </xf>
    <xf numFmtId="43" fontId="4" fillId="33" borderId="0" xfId="33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vertical="center"/>
    </xf>
    <xf numFmtId="43" fontId="61" fillId="33" borderId="20" xfId="33" applyFont="1" applyFill="1" applyBorder="1" applyAlignment="1">
      <alignment horizontal="left" wrapText="1"/>
    </xf>
    <xf numFmtId="43" fontId="6" fillId="33" borderId="19" xfId="33" applyFont="1" applyFill="1" applyBorder="1" applyAlignment="1">
      <alignment/>
    </xf>
    <xf numFmtId="0" fontId="62" fillId="0" borderId="0" xfId="0" applyFont="1" applyAlignment="1">
      <alignment/>
    </xf>
    <xf numFmtId="43" fontId="59" fillId="33" borderId="10" xfId="33" applyFont="1" applyFill="1" applyBorder="1" applyAlignment="1">
      <alignment/>
    </xf>
    <xf numFmtId="0" fontId="59" fillId="33" borderId="0" xfId="0" applyFont="1" applyFill="1" applyAlignment="1">
      <alignment/>
    </xf>
    <xf numFmtId="0" fontId="63" fillId="0" borderId="0" xfId="0" applyFont="1" applyAlignment="1">
      <alignment/>
    </xf>
    <xf numFmtId="43" fontId="10" fillId="33" borderId="10" xfId="33" applyFont="1" applyFill="1" applyBorder="1" applyAlignment="1">
      <alignment horizontal="left" vertical="center"/>
    </xf>
    <xf numFmtId="43" fontId="5" fillId="36" borderId="18" xfId="33" applyFont="1" applyFill="1" applyBorder="1" applyAlignment="1">
      <alignment horizontal="center" vertical="center"/>
    </xf>
    <xf numFmtId="201" fontId="6" fillId="33" borderId="10" xfId="33" applyNumberFormat="1" applyFont="1" applyFill="1" applyBorder="1" applyAlignment="1">
      <alignment horizontal="left" vertical="center"/>
    </xf>
    <xf numFmtId="43" fontId="6" fillId="33" borderId="13" xfId="33" applyFont="1" applyFill="1" applyBorder="1" applyAlignment="1">
      <alignment horizontal="center" vertical="center"/>
    </xf>
    <xf numFmtId="43" fontId="6" fillId="36" borderId="18" xfId="33" applyFont="1" applyFill="1" applyBorder="1" applyAlignment="1">
      <alignment vertical="center"/>
    </xf>
    <xf numFmtId="43" fontId="5" fillId="36" borderId="21" xfId="33" applyFont="1" applyFill="1" applyBorder="1" applyAlignment="1">
      <alignment horizontal="center" vertical="center"/>
    </xf>
    <xf numFmtId="43" fontId="6" fillId="36" borderId="21" xfId="33" applyFont="1" applyFill="1" applyBorder="1" applyAlignment="1">
      <alignment vertical="center"/>
    </xf>
    <xf numFmtId="43" fontId="5" fillId="36" borderId="22" xfId="33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59" fillId="0" borderId="0" xfId="0" applyFont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43" fontId="5" fillId="33" borderId="10" xfId="33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center" vertical="top"/>
    </xf>
    <xf numFmtId="43" fontId="66" fillId="33" borderId="0" xfId="33" applyFont="1" applyFill="1" applyBorder="1" applyAlignment="1">
      <alignment horizontal="center" vertical="top"/>
    </xf>
    <xf numFmtId="0" fontId="67" fillId="33" borderId="0" xfId="0" applyFont="1" applyFill="1" applyBorder="1" applyAlignment="1">
      <alignment horizontal="left" vertical="top"/>
    </xf>
    <xf numFmtId="43" fontId="67" fillId="33" borderId="0" xfId="33" applyFont="1" applyFill="1" applyBorder="1" applyAlignment="1">
      <alignment horizontal="left" vertical="top"/>
    </xf>
    <xf numFmtId="0" fontId="67" fillId="33" borderId="17" xfId="0" applyFont="1" applyFill="1" applyBorder="1" applyAlignment="1">
      <alignment horizontal="center" vertical="top"/>
    </xf>
    <xf numFmtId="0" fontId="67" fillId="33" borderId="10" xfId="0" applyFont="1" applyFill="1" applyBorder="1" applyAlignment="1">
      <alignment horizontal="center" vertical="top"/>
    </xf>
    <xf numFmtId="43" fontId="67" fillId="33" borderId="10" xfId="33" applyFont="1" applyFill="1" applyBorder="1" applyAlignment="1">
      <alignment horizontal="center" vertical="top"/>
    </xf>
    <xf numFmtId="0" fontId="67" fillId="33" borderId="10" xfId="0" applyFont="1" applyFill="1" applyBorder="1" applyAlignment="1">
      <alignment horizontal="left" vertical="top"/>
    </xf>
    <xf numFmtId="43" fontId="67" fillId="33" borderId="10" xfId="33" applyFont="1" applyFill="1" applyBorder="1" applyAlignment="1">
      <alignment horizontal="left" vertical="top"/>
    </xf>
    <xf numFmtId="0" fontId="67" fillId="33" borderId="1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wrapText="1"/>
    </xf>
    <xf numFmtId="43" fontId="67" fillId="33" borderId="10" xfId="0" applyNumberFormat="1" applyFont="1" applyFill="1" applyBorder="1" applyAlignment="1">
      <alignment horizontal="left" vertical="top"/>
    </xf>
    <xf numFmtId="43" fontId="67" fillId="33" borderId="10" xfId="33" applyNumberFormat="1" applyFont="1" applyFill="1" applyBorder="1" applyAlignment="1">
      <alignment horizontal="left" vertical="top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left" vertical="top"/>
    </xf>
    <xf numFmtId="43" fontId="67" fillId="33" borderId="11" xfId="33" applyFont="1" applyFill="1" applyBorder="1" applyAlignment="1">
      <alignment horizontal="left" vertical="top"/>
    </xf>
    <xf numFmtId="43" fontId="67" fillId="33" borderId="0" xfId="0" applyNumberFormat="1" applyFont="1" applyFill="1" applyBorder="1" applyAlignment="1">
      <alignment horizontal="left" vertical="top"/>
    </xf>
    <xf numFmtId="43" fontId="67" fillId="36" borderId="18" xfId="33" applyFont="1" applyFill="1" applyBorder="1" applyAlignment="1">
      <alignment horizontal="left" vertical="top"/>
    </xf>
    <xf numFmtId="0" fontId="67" fillId="33" borderId="13" xfId="0" applyFont="1" applyFill="1" applyBorder="1" applyAlignment="1">
      <alignment horizontal="left" vertical="top"/>
    </xf>
    <xf numFmtId="43" fontId="67" fillId="33" borderId="13" xfId="33" applyFont="1" applyFill="1" applyBorder="1" applyAlignment="1">
      <alignment horizontal="left" vertical="top"/>
    </xf>
    <xf numFmtId="0" fontId="2" fillId="33" borderId="10" xfId="33" applyNumberFormat="1" applyFont="1" applyFill="1" applyBorder="1" applyAlignment="1">
      <alignment vertical="center"/>
    </xf>
    <xf numFmtId="43" fontId="59" fillId="33" borderId="20" xfId="0" applyNumberFormat="1" applyFont="1" applyFill="1" applyBorder="1" applyAlignment="1">
      <alignment horizontal="right" wrapText="1"/>
    </xf>
    <xf numFmtId="43" fontId="59" fillId="33" borderId="20" xfId="0" applyNumberFormat="1" applyFont="1" applyFill="1" applyBorder="1" applyAlignment="1">
      <alignment horizontal="center" wrapText="1"/>
    </xf>
    <xf numFmtId="43" fontId="2" fillId="33" borderId="20" xfId="0" applyNumberFormat="1" applyFont="1" applyFill="1" applyBorder="1" applyAlignment="1">
      <alignment horizontal="center" wrapText="1"/>
    </xf>
    <xf numFmtId="43" fontId="67" fillId="36" borderId="23" xfId="33" applyFont="1" applyFill="1" applyBorder="1" applyAlignment="1">
      <alignment horizontal="left" vertical="top"/>
    </xf>
    <xf numFmtId="43" fontId="67" fillId="33" borderId="14" xfId="0" applyNumberFormat="1" applyFont="1" applyFill="1" applyBorder="1" applyAlignment="1">
      <alignment horizontal="left" vertical="top"/>
    </xf>
    <xf numFmtId="43" fontId="67" fillId="33" borderId="14" xfId="33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center"/>
    </xf>
    <xf numFmtId="0" fontId="59" fillId="33" borderId="24" xfId="0" applyFont="1" applyFill="1" applyBorder="1" applyAlignment="1">
      <alignment wrapText="1"/>
    </xf>
    <xf numFmtId="43" fontId="59" fillId="33" borderId="24" xfId="0" applyNumberFormat="1" applyFont="1" applyFill="1" applyBorder="1" applyAlignment="1">
      <alignment horizontal="center" wrapText="1"/>
    </xf>
    <xf numFmtId="0" fontId="59" fillId="33" borderId="10" xfId="0" applyFont="1" applyFill="1" applyBorder="1" applyAlignment="1">
      <alignment wrapText="1"/>
    </xf>
    <xf numFmtId="43" fontId="59" fillId="33" borderId="10" xfId="0" applyNumberFormat="1" applyFont="1" applyFill="1" applyBorder="1" applyAlignment="1">
      <alignment horizontal="center" wrapText="1"/>
    </xf>
    <xf numFmtId="43" fontId="67" fillId="36" borderId="22" xfId="33" applyFont="1" applyFill="1" applyBorder="1" applyAlignment="1">
      <alignment horizontal="left" vertical="top"/>
    </xf>
    <xf numFmtId="0" fontId="68" fillId="33" borderId="0" xfId="0" applyFont="1" applyFill="1" applyBorder="1" applyAlignment="1">
      <alignment horizontal="right" vertical="top"/>
    </xf>
    <xf numFmtId="0" fontId="67" fillId="33" borderId="0" xfId="0" applyFont="1" applyFill="1" applyBorder="1" applyAlignment="1">
      <alignment horizontal="center" vertical="center"/>
    </xf>
    <xf numFmtId="43" fontId="4" fillId="33" borderId="0" xfId="33" applyFont="1" applyFill="1" applyBorder="1" applyAlignment="1">
      <alignment horizontal="center" vertical="center"/>
    </xf>
    <xf numFmtId="43" fontId="12" fillId="33" borderId="0" xfId="33" applyFont="1" applyFill="1" applyAlignment="1">
      <alignment vertical="center"/>
    </xf>
    <xf numFmtId="43" fontId="12" fillId="33" borderId="0" xfId="33" applyFont="1" applyFill="1" applyAlignment="1">
      <alignment horizontal="center" vertical="center"/>
    </xf>
    <xf numFmtId="43" fontId="12" fillId="33" borderId="0" xfId="33" applyFont="1" applyFill="1" applyBorder="1" applyAlignment="1">
      <alignment vertical="center"/>
    </xf>
    <xf numFmtId="0" fontId="67" fillId="33" borderId="15" xfId="0" applyFont="1" applyFill="1" applyBorder="1" applyAlignment="1">
      <alignment horizontal="center" vertical="top"/>
    </xf>
    <xf numFmtId="0" fontId="67" fillId="33" borderId="15" xfId="0" applyFont="1" applyFill="1" applyBorder="1" applyAlignment="1">
      <alignment horizontal="left" vertical="top"/>
    </xf>
    <xf numFmtId="43" fontId="67" fillId="33" borderId="15" xfId="33" applyFont="1" applyFill="1" applyBorder="1" applyAlignment="1">
      <alignment horizontal="left" vertical="top"/>
    </xf>
    <xf numFmtId="43" fontId="67" fillId="33" borderId="15" xfId="0" applyNumberFormat="1" applyFont="1" applyFill="1" applyBorder="1" applyAlignment="1">
      <alignment horizontal="left" vertical="top"/>
    </xf>
    <xf numFmtId="43" fontId="67" fillId="33" borderId="25" xfId="33" applyFont="1" applyFill="1" applyBorder="1" applyAlignment="1">
      <alignment horizontal="left" vertical="top"/>
    </xf>
    <xf numFmtId="0" fontId="67" fillId="33" borderId="26" xfId="0" applyFont="1" applyFill="1" applyBorder="1" applyAlignment="1">
      <alignment horizontal="left" vertical="top"/>
    </xf>
    <xf numFmtId="43" fontId="59" fillId="33" borderId="27" xfId="0" applyNumberFormat="1" applyFont="1" applyFill="1" applyBorder="1" applyAlignment="1">
      <alignment horizontal="center" wrapText="1"/>
    </xf>
    <xf numFmtId="43" fontId="59" fillId="33" borderId="28" xfId="0" applyNumberFormat="1" applyFont="1" applyFill="1" applyBorder="1" applyAlignment="1">
      <alignment horizontal="center" wrapText="1"/>
    </xf>
    <xf numFmtId="43" fontId="59" fillId="33" borderId="15" xfId="0" applyNumberFormat="1" applyFont="1" applyFill="1" applyBorder="1" applyAlignment="1">
      <alignment horizontal="center" wrapText="1"/>
    </xf>
    <xf numFmtId="0" fontId="67" fillId="33" borderId="25" xfId="0" applyFont="1" applyFill="1" applyBorder="1" applyAlignment="1">
      <alignment horizontal="left" vertical="top"/>
    </xf>
    <xf numFmtId="0" fontId="67" fillId="33" borderId="17" xfId="0" applyFont="1" applyFill="1" applyBorder="1" applyAlignment="1">
      <alignment horizontal="left" vertical="top"/>
    </xf>
    <xf numFmtId="43" fontId="67" fillId="33" borderId="17" xfId="33" applyFont="1" applyFill="1" applyBorder="1" applyAlignment="1">
      <alignment horizontal="left" vertical="top"/>
    </xf>
    <xf numFmtId="43" fontId="67" fillId="33" borderId="29" xfId="33" applyFont="1" applyFill="1" applyBorder="1" applyAlignment="1">
      <alignment horizontal="left" vertical="top"/>
    </xf>
    <xf numFmtId="0" fontId="67" fillId="33" borderId="30" xfId="0" applyFont="1" applyFill="1" applyBorder="1" applyAlignment="1">
      <alignment horizontal="left" vertical="top"/>
    </xf>
    <xf numFmtId="43" fontId="59" fillId="33" borderId="31" xfId="0" applyNumberFormat="1" applyFont="1" applyFill="1" applyBorder="1" applyAlignment="1">
      <alignment horizontal="center" wrapText="1"/>
    </xf>
    <xf numFmtId="43" fontId="59" fillId="33" borderId="32" xfId="0" applyNumberFormat="1" applyFont="1" applyFill="1" applyBorder="1" applyAlignment="1">
      <alignment horizontal="center" wrapText="1"/>
    </xf>
    <xf numFmtId="43" fontId="59" fillId="33" borderId="17" xfId="0" applyNumberFormat="1" applyFont="1" applyFill="1" applyBorder="1" applyAlignment="1">
      <alignment horizontal="center" wrapText="1"/>
    </xf>
    <xf numFmtId="0" fontId="67" fillId="33" borderId="29" xfId="0" applyFont="1" applyFill="1" applyBorder="1" applyAlignment="1">
      <alignment horizontal="left" vertical="top"/>
    </xf>
    <xf numFmtId="43" fontId="67" fillId="35" borderId="17" xfId="33" applyFont="1" applyFill="1" applyBorder="1" applyAlignment="1">
      <alignment horizontal="left" vertical="top"/>
    </xf>
    <xf numFmtId="0" fontId="69" fillId="33" borderId="13" xfId="0" applyFont="1" applyFill="1" applyBorder="1" applyAlignment="1">
      <alignment horizontal="left" vertical="top"/>
    </xf>
    <xf numFmtId="43" fontId="2" fillId="33" borderId="10" xfId="33" applyFont="1" applyFill="1" applyBorder="1" applyAlignment="1">
      <alignment horizontal="left" vertical="top"/>
    </xf>
    <xf numFmtId="43" fontId="6" fillId="33" borderId="16" xfId="33" applyFont="1" applyFill="1" applyBorder="1" applyAlignment="1">
      <alignment vertical="center"/>
    </xf>
    <xf numFmtId="43" fontId="2" fillId="33" borderId="10" xfId="33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43" fontId="2" fillId="33" borderId="11" xfId="33" applyFont="1" applyFill="1" applyBorder="1" applyAlignment="1">
      <alignment vertical="top"/>
    </xf>
    <xf numFmtId="43" fontId="2" fillId="36" borderId="18" xfId="33" applyFont="1" applyFill="1" applyBorder="1" applyAlignment="1">
      <alignment vertical="top"/>
    </xf>
    <xf numFmtId="43" fontId="2" fillId="36" borderId="23" xfId="33" applyFont="1" applyFill="1" applyBorder="1" applyAlignment="1">
      <alignment horizontal="left" vertical="top"/>
    </xf>
    <xf numFmtId="43" fontId="2" fillId="33" borderId="14" xfId="0" applyNumberFormat="1" applyFont="1" applyFill="1" applyBorder="1" applyAlignment="1">
      <alignment horizontal="left" vertical="top"/>
    </xf>
    <xf numFmtId="43" fontId="6" fillId="35" borderId="10" xfId="33" applyFont="1" applyFill="1" applyBorder="1" applyAlignment="1">
      <alignment horizontal="center" vertical="center" wrapText="1"/>
    </xf>
    <xf numFmtId="43" fontId="2" fillId="36" borderId="10" xfId="33" applyFont="1" applyFill="1" applyBorder="1" applyAlignment="1">
      <alignment horizontal="left" vertical="top"/>
    </xf>
    <xf numFmtId="43" fontId="2" fillId="36" borderId="20" xfId="33" applyFont="1" applyFill="1" applyBorder="1" applyAlignment="1">
      <alignment horizontal="center"/>
    </xf>
    <xf numFmtId="43" fontId="2" fillId="36" borderId="33" xfId="33" applyFont="1" applyFill="1" applyBorder="1" applyAlignment="1">
      <alignment vertical="top"/>
    </xf>
    <xf numFmtId="43" fontId="2" fillId="36" borderId="34" xfId="33" applyFont="1" applyFill="1" applyBorder="1" applyAlignment="1">
      <alignment horizontal="left" vertical="top"/>
    </xf>
    <xf numFmtId="43" fontId="2" fillId="33" borderId="35" xfId="0" applyNumberFormat="1" applyFont="1" applyFill="1" applyBorder="1" applyAlignment="1">
      <alignment horizontal="left" vertical="top"/>
    </xf>
    <xf numFmtId="43" fontId="2" fillId="33" borderId="36" xfId="33" applyFont="1" applyFill="1" applyBorder="1" applyAlignment="1">
      <alignment horizontal="left" vertical="top"/>
    </xf>
    <xf numFmtId="43" fontId="2" fillId="36" borderId="36" xfId="33" applyFont="1" applyFill="1" applyBorder="1" applyAlignment="1">
      <alignment horizontal="left" vertical="top"/>
    </xf>
    <xf numFmtId="0" fontId="2" fillId="0" borderId="0" xfId="0" applyFont="1" applyAlignment="1">
      <alignment/>
    </xf>
    <xf numFmtId="43" fontId="59" fillId="0" borderId="20" xfId="33" applyNumberFormat="1" applyFont="1" applyBorder="1" applyAlignment="1">
      <alignment horizontal="right" vertical="center" wrapText="1"/>
    </xf>
    <xf numFmtId="43" fontId="59" fillId="0" borderId="20" xfId="33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9" fillId="0" borderId="20" xfId="0" applyFont="1" applyBorder="1" applyAlignment="1">
      <alignment horizontal="center" wrapText="1"/>
    </xf>
    <xf numFmtId="0" fontId="59" fillId="0" borderId="20" xfId="0" applyFont="1" applyBorder="1" applyAlignment="1">
      <alignment horizontal="left" wrapText="1"/>
    </xf>
    <xf numFmtId="43" fontId="59" fillId="0" borderId="20" xfId="33" applyNumberFormat="1" applyFont="1" applyBorder="1" applyAlignment="1">
      <alignment horizontal="right" wrapText="1"/>
    </xf>
    <xf numFmtId="43" fontId="59" fillId="0" borderId="20" xfId="33" applyNumberFormat="1" applyFont="1" applyBorder="1" applyAlignment="1">
      <alignment horizontal="center" wrapText="1"/>
    </xf>
    <xf numFmtId="43" fontId="59" fillId="0" borderId="0" xfId="33" applyNumberFormat="1" applyFont="1" applyAlignment="1">
      <alignment/>
    </xf>
    <xf numFmtId="43" fontId="59" fillId="0" borderId="0" xfId="33" applyNumberFormat="1" applyFont="1" applyAlignment="1">
      <alignment horizontal="center"/>
    </xf>
    <xf numFmtId="0" fontId="5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/>
    </xf>
    <xf numFmtId="43" fontId="59" fillId="33" borderId="10" xfId="33" applyFont="1" applyFill="1" applyBorder="1" applyAlignment="1">
      <alignment horizontal="center" vertical="center"/>
    </xf>
    <xf numFmtId="43" fontId="59" fillId="33" borderId="0" xfId="33" applyFont="1" applyFill="1" applyAlignment="1">
      <alignment/>
    </xf>
    <xf numFmtId="43" fontId="6" fillId="33" borderId="16" xfId="33" applyFont="1" applyFill="1" applyBorder="1" applyAlignment="1">
      <alignment horizontal="center" vertical="center" wrapText="1"/>
    </xf>
    <xf numFmtId="43" fontId="5" fillId="33" borderId="17" xfId="33" applyFont="1" applyFill="1" applyBorder="1" applyAlignment="1">
      <alignment horizontal="center" vertical="center"/>
    </xf>
    <xf numFmtId="43" fontId="2" fillId="33" borderId="37" xfId="33" applyFont="1" applyFill="1" applyBorder="1" applyAlignment="1">
      <alignment vertical="center"/>
    </xf>
    <xf numFmtId="43" fontId="2" fillId="33" borderId="10" xfId="33" applyFont="1" applyFill="1" applyBorder="1" applyAlignment="1">
      <alignment vertical="center"/>
    </xf>
    <xf numFmtId="43" fontId="2" fillId="33" borderId="17" xfId="33" applyFont="1" applyFill="1" applyBorder="1" applyAlignment="1">
      <alignment vertical="center"/>
    </xf>
    <xf numFmtId="43" fontId="2" fillId="33" borderId="11" xfId="33" applyFont="1" applyFill="1" applyBorder="1" applyAlignment="1">
      <alignment vertical="center"/>
    </xf>
    <xf numFmtId="43" fontId="2" fillId="33" borderId="29" xfId="33" applyFont="1" applyFill="1" applyBorder="1" applyAlignment="1">
      <alignment vertical="center"/>
    </xf>
    <xf numFmtId="43" fontId="2" fillId="33" borderId="38" xfId="33" applyFont="1" applyFill="1" applyBorder="1" applyAlignment="1">
      <alignment vertical="center"/>
    </xf>
    <xf numFmtId="43" fontId="13" fillId="33" borderId="39" xfId="33" applyFont="1" applyFill="1" applyBorder="1" applyAlignment="1">
      <alignment vertical="center"/>
    </xf>
    <xf numFmtId="43" fontId="13" fillId="33" borderId="21" xfId="33" applyFont="1" applyFill="1" applyBorder="1" applyAlignment="1">
      <alignment vertical="center"/>
    </xf>
    <xf numFmtId="43" fontId="6" fillId="33" borderId="40" xfId="33" applyFont="1" applyFill="1" applyBorder="1" applyAlignment="1">
      <alignment vertical="center"/>
    </xf>
    <xf numFmtId="43" fontId="6" fillId="33" borderId="10" xfId="33" applyFont="1" applyFill="1" applyBorder="1" applyAlignment="1">
      <alignment horizontal="center" vertical="top"/>
    </xf>
    <xf numFmtId="43" fontId="6" fillId="33" borderId="15" xfId="33" applyFont="1" applyFill="1" applyBorder="1" applyAlignment="1">
      <alignment horizontal="center" vertical="top"/>
    </xf>
    <xf numFmtId="43" fontId="6" fillId="33" borderId="37" xfId="33" applyFont="1" applyFill="1" applyBorder="1" applyAlignment="1">
      <alignment horizontal="center" vertical="top" wrapText="1"/>
    </xf>
    <xf numFmtId="43" fontId="6" fillId="33" borderId="10" xfId="33" applyFont="1" applyFill="1" applyBorder="1" applyAlignment="1">
      <alignment horizontal="center" vertical="top" wrapText="1"/>
    </xf>
    <xf numFmtId="43" fontId="6" fillId="33" borderId="36" xfId="33" applyFont="1" applyFill="1" applyBorder="1" applyAlignment="1">
      <alignment horizontal="center" vertical="top" wrapText="1"/>
    </xf>
    <xf numFmtId="43" fontId="6" fillId="33" borderId="0" xfId="33" applyFont="1" applyFill="1" applyBorder="1" applyAlignment="1">
      <alignment vertical="top"/>
    </xf>
    <xf numFmtId="43" fontId="6" fillId="33" borderId="11" xfId="33" applyFont="1" applyFill="1" applyBorder="1" applyAlignment="1">
      <alignment horizontal="center" vertical="center"/>
    </xf>
    <xf numFmtId="43" fontId="6" fillId="33" borderId="13" xfId="33" applyFont="1" applyFill="1" applyBorder="1" applyAlignment="1">
      <alignment horizontal="left" vertical="center"/>
    </xf>
    <xf numFmtId="43" fontId="5" fillId="33" borderId="0" xfId="0" applyNumberFormat="1" applyFont="1" applyFill="1" applyAlignment="1">
      <alignment vertical="center"/>
    </xf>
    <xf numFmtId="0" fontId="59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NumberFormat="1" applyFont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NumberFormat="1" applyFont="1" applyAlignment="1">
      <alignment vertical="center"/>
    </xf>
    <xf numFmtId="43" fontId="59" fillId="0" borderId="10" xfId="33" applyNumberFormat="1" applyFont="1" applyBorder="1" applyAlignment="1">
      <alignment horizontal="center" vertical="center"/>
    </xf>
    <xf numFmtId="43" fontId="59" fillId="0" borderId="10" xfId="33" applyNumberFormat="1" applyFont="1" applyBorder="1" applyAlignment="1">
      <alignment horizontal="center" vertical="center" wrapText="1"/>
    </xf>
    <xf numFmtId="43" fontId="59" fillId="0" borderId="10" xfId="33" applyNumberFormat="1" applyFont="1" applyBorder="1" applyAlignment="1">
      <alignment vertical="center"/>
    </xf>
    <xf numFmtId="43" fontId="59" fillId="0" borderId="0" xfId="33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43" fontId="5" fillId="33" borderId="10" xfId="33" applyFont="1" applyFill="1" applyBorder="1" applyAlignment="1">
      <alignment horizontal="center" vertical="center"/>
    </xf>
    <xf numFmtId="43" fontId="5" fillId="33" borderId="10" xfId="33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43" fontId="62" fillId="0" borderId="14" xfId="33" applyNumberFormat="1" applyFont="1" applyBorder="1" applyAlignment="1">
      <alignment vertical="center"/>
    </xf>
    <xf numFmtId="0" fontId="62" fillId="0" borderId="14" xfId="0" applyNumberFormat="1" applyFont="1" applyBorder="1" applyAlignment="1">
      <alignment vertical="center"/>
    </xf>
    <xf numFmtId="43" fontId="6" fillId="33" borderId="11" xfId="33" applyFont="1" applyFill="1" applyBorder="1" applyAlignment="1">
      <alignment/>
    </xf>
    <xf numFmtId="43" fontId="6" fillId="33" borderId="14" xfId="33" applyFont="1" applyFill="1" applyBorder="1" applyAlignment="1">
      <alignment vertical="center"/>
    </xf>
    <xf numFmtId="0" fontId="64" fillId="33" borderId="11" xfId="0" applyFont="1" applyFill="1" applyBorder="1" applyAlignment="1">
      <alignment/>
    </xf>
    <xf numFmtId="43" fontId="6" fillId="36" borderId="13" xfId="33" applyFont="1" applyFill="1" applyBorder="1" applyAlignment="1">
      <alignment vertical="center"/>
    </xf>
    <xf numFmtId="43" fontId="6" fillId="36" borderId="13" xfId="33" applyFont="1" applyFill="1" applyBorder="1" applyAlignment="1">
      <alignment/>
    </xf>
    <xf numFmtId="43" fontId="6" fillId="36" borderId="10" xfId="33" applyFont="1" applyFill="1" applyBorder="1" applyAlignment="1">
      <alignment vertical="center"/>
    </xf>
    <xf numFmtId="43" fontId="5" fillId="36" borderId="14" xfId="33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43" fontId="2" fillId="33" borderId="10" xfId="33" applyNumberFormat="1" applyFont="1" applyFill="1" applyBorder="1" applyAlignment="1">
      <alignment vertical="center"/>
    </xf>
    <xf numFmtId="0" fontId="59" fillId="33" borderId="10" xfId="0" applyNumberFormat="1" applyFont="1" applyFill="1" applyBorder="1" applyAlignment="1">
      <alignment vertical="center"/>
    </xf>
    <xf numFmtId="43" fontId="59" fillId="33" borderId="10" xfId="33" applyNumberFormat="1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43" fontId="62" fillId="36" borderId="10" xfId="33" applyNumberFormat="1" applyFont="1" applyFill="1" applyBorder="1" applyAlignment="1">
      <alignment vertical="center"/>
    </xf>
    <xf numFmtId="43" fontId="6" fillId="33" borderId="41" xfId="33" applyFont="1" applyFill="1" applyBorder="1" applyAlignment="1">
      <alignment vertical="center"/>
    </xf>
    <xf numFmtId="43" fontId="6" fillId="33" borderId="41" xfId="33" applyFont="1" applyFill="1" applyBorder="1" applyAlignment="1">
      <alignment/>
    </xf>
    <xf numFmtId="49" fontId="62" fillId="36" borderId="10" xfId="33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36" borderId="10" xfId="0" applyFont="1" applyFill="1" applyBorder="1" applyAlignment="1">
      <alignment vertical="center"/>
    </xf>
    <xf numFmtId="49" fontId="4" fillId="36" borderId="10" xfId="33" applyNumberFormat="1" applyFont="1" applyFill="1" applyBorder="1" applyAlignment="1">
      <alignment vertical="center"/>
    </xf>
    <xf numFmtId="43" fontId="4" fillId="36" borderId="10" xfId="3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62" fillId="36" borderId="11" xfId="0" applyFont="1" applyFill="1" applyBorder="1" applyAlignment="1">
      <alignment vertical="center"/>
    </xf>
    <xf numFmtId="49" fontId="62" fillId="36" borderId="11" xfId="33" applyNumberFormat="1" applyFont="1" applyFill="1" applyBorder="1" applyAlignment="1">
      <alignment vertical="center"/>
    </xf>
    <xf numFmtId="43" fontId="62" fillId="36" borderId="11" xfId="33" applyNumberFormat="1" applyFont="1" applyFill="1" applyBorder="1" applyAlignment="1">
      <alignment vertical="center"/>
    </xf>
    <xf numFmtId="0" fontId="59" fillId="0" borderId="14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33" applyNumberFormat="1" applyFont="1" applyFill="1" applyBorder="1" applyAlignment="1">
      <alignment vertical="center"/>
    </xf>
    <xf numFmtId="43" fontId="4" fillId="33" borderId="10" xfId="33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left" wrapText="1"/>
    </xf>
    <xf numFmtId="0" fontId="61" fillId="33" borderId="20" xfId="0" applyFont="1" applyFill="1" applyBorder="1" applyAlignment="1">
      <alignment horizontal="left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3" fontId="3" fillId="33" borderId="0" xfId="33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left" vertical="top"/>
    </xf>
    <xf numFmtId="0" fontId="68" fillId="36" borderId="42" xfId="0" applyFont="1" applyFill="1" applyBorder="1" applyAlignment="1">
      <alignment horizontal="right" vertical="top"/>
    </xf>
    <xf numFmtId="0" fontId="68" fillId="36" borderId="43" xfId="0" applyFont="1" applyFill="1" applyBorder="1" applyAlignment="1">
      <alignment horizontal="right" vertical="top"/>
    </xf>
    <xf numFmtId="0" fontId="68" fillId="36" borderId="44" xfId="0" applyFont="1" applyFill="1" applyBorder="1" applyAlignment="1">
      <alignment horizontal="right" vertical="top"/>
    </xf>
    <xf numFmtId="0" fontId="68" fillId="33" borderId="45" xfId="0" applyFont="1" applyFill="1" applyBorder="1" applyAlignment="1">
      <alignment horizontal="right" vertical="top"/>
    </xf>
    <xf numFmtId="0" fontId="68" fillId="33" borderId="46" xfId="0" applyFont="1" applyFill="1" applyBorder="1" applyAlignment="1">
      <alignment horizontal="right" vertical="top"/>
    </xf>
    <xf numFmtId="0" fontId="68" fillId="33" borderId="47" xfId="0" applyFont="1" applyFill="1" applyBorder="1" applyAlignment="1">
      <alignment horizontal="right" vertical="top"/>
    </xf>
    <xf numFmtId="0" fontId="68" fillId="36" borderId="22" xfId="0" applyFont="1" applyFill="1" applyBorder="1" applyAlignment="1">
      <alignment horizontal="right" vertical="top"/>
    </xf>
    <xf numFmtId="0" fontId="68" fillId="33" borderId="14" xfId="0" applyFont="1" applyFill="1" applyBorder="1" applyAlignment="1">
      <alignment horizontal="right" vertical="top"/>
    </xf>
    <xf numFmtId="0" fontId="68" fillId="33" borderId="17" xfId="0" applyFont="1" applyFill="1" applyBorder="1" applyAlignment="1">
      <alignment horizontal="center" vertical="top"/>
    </xf>
    <xf numFmtId="0" fontId="68" fillId="33" borderId="10" xfId="0" applyFont="1" applyFill="1" applyBorder="1" applyAlignment="1">
      <alignment horizontal="center" vertical="top"/>
    </xf>
    <xf numFmtId="0" fontId="67" fillId="33" borderId="11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vertical="top"/>
    </xf>
    <xf numFmtId="0" fontId="68" fillId="33" borderId="16" xfId="0" applyFont="1" applyFill="1" applyBorder="1" applyAlignment="1">
      <alignment horizontal="left" vertical="top"/>
    </xf>
    <xf numFmtId="0" fontId="68" fillId="33" borderId="17" xfId="0" applyFont="1" applyFill="1" applyBorder="1" applyAlignment="1">
      <alignment horizontal="left" vertical="top"/>
    </xf>
    <xf numFmtId="0" fontId="68" fillId="36" borderId="48" xfId="0" applyFont="1" applyFill="1" applyBorder="1" applyAlignment="1">
      <alignment horizontal="right" vertical="top"/>
    </xf>
    <xf numFmtId="0" fontId="68" fillId="36" borderId="49" xfId="0" applyFont="1" applyFill="1" applyBorder="1" applyAlignment="1">
      <alignment horizontal="right" vertical="top"/>
    </xf>
    <xf numFmtId="0" fontId="68" fillId="36" borderId="38" xfId="0" applyFont="1" applyFill="1" applyBorder="1" applyAlignment="1">
      <alignment horizontal="right" vertical="top"/>
    </xf>
    <xf numFmtId="0" fontId="66" fillId="33" borderId="0" xfId="0" applyFont="1" applyFill="1" applyBorder="1" applyAlignment="1">
      <alignment horizontal="center" vertical="top"/>
    </xf>
    <xf numFmtId="0" fontId="67" fillId="33" borderId="12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top"/>
    </xf>
    <xf numFmtId="0" fontId="67" fillId="33" borderId="10" xfId="0" applyFont="1" applyFill="1" applyBorder="1" applyAlignment="1">
      <alignment horizontal="center" vertical="top"/>
    </xf>
    <xf numFmtId="43" fontId="5" fillId="34" borderId="10" xfId="33" applyFont="1" applyFill="1" applyBorder="1" applyAlignment="1">
      <alignment horizontal="center" vertical="center"/>
    </xf>
    <xf numFmtId="43" fontId="5" fillId="33" borderId="10" xfId="33" applyFont="1" applyFill="1" applyBorder="1" applyAlignment="1">
      <alignment horizontal="center" vertical="center" wrapText="1"/>
    </xf>
    <xf numFmtId="43" fontId="5" fillId="34" borderId="10" xfId="33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top"/>
    </xf>
    <xf numFmtId="43" fontId="5" fillId="33" borderId="10" xfId="33" applyFont="1" applyFill="1" applyBorder="1" applyAlignment="1">
      <alignment horizontal="center" vertical="center"/>
    </xf>
    <xf numFmtId="43" fontId="4" fillId="33" borderId="0" xfId="33" applyFont="1" applyFill="1" applyAlignment="1">
      <alignment horizontal="center" vertical="center"/>
    </xf>
    <xf numFmtId="43" fontId="3" fillId="0" borderId="12" xfId="33" applyFont="1" applyFill="1" applyBorder="1" applyAlignment="1">
      <alignment horizontal="left" vertical="center"/>
    </xf>
    <xf numFmtId="43" fontId="3" fillId="33" borderId="12" xfId="33" applyFont="1" applyFill="1" applyBorder="1" applyAlignment="1">
      <alignment horizontal="right" vertical="center"/>
    </xf>
    <xf numFmtId="43" fontId="3" fillId="33" borderId="0" xfId="33" applyFont="1" applyFill="1" applyBorder="1" applyAlignment="1">
      <alignment horizontal="right" vertical="center"/>
    </xf>
    <xf numFmtId="43" fontId="5" fillId="33" borderId="0" xfId="33" applyFont="1" applyFill="1" applyAlignment="1">
      <alignment horizontal="center" vertical="center"/>
    </xf>
    <xf numFmtId="43" fontId="5" fillId="33" borderId="12" xfId="33" applyFont="1" applyFill="1" applyBorder="1" applyAlignment="1">
      <alignment horizontal="center" vertical="center"/>
    </xf>
    <xf numFmtId="43" fontId="5" fillId="33" borderId="37" xfId="33" applyFont="1" applyFill="1" applyBorder="1" applyAlignment="1">
      <alignment horizontal="center" vertical="center"/>
    </xf>
    <xf numFmtId="43" fontId="5" fillId="33" borderId="50" xfId="33" applyFont="1" applyFill="1" applyBorder="1" applyAlignment="1">
      <alignment horizontal="center" vertical="center"/>
    </xf>
    <xf numFmtId="43" fontId="5" fillId="33" borderId="16" xfId="33" applyFont="1" applyFill="1" applyBorder="1" applyAlignment="1">
      <alignment horizontal="center" vertical="center"/>
    </xf>
    <xf numFmtId="43" fontId="5" fillId="33" borderId="51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6" borderId="45" xfId="0" applyFont="1" applyFill="1" applyBorder="1" applyAlignment="1">
      <alignment horizontal="right" vertical="center"/>
    </xf>
    <xf numFmtId="0" fontId="9" fillId="36" borderId="46" xfId="0" applyFont="1" applyFill="1" applyBorder="1" applyAlignment="1">
      <alignment horizontal="right" vertical="center"/>
    </xf>
    <xf numFmtId="0" fontId="9" fillId="36" borderId="47" xfId="0" applyFont="1" applyFill="1" applyBorder="1" applyAlignment="1">
      <alignment horizontal="right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43" fontId="62" fillId="36" borderId="15" xfId="33" applyNumberFormat="1" applyFont="1" applyFill="1" applyBorder="1" applyAlignment="1">
      <alignment horizontal="center" vertical="center"/>
    </xf>
    <xf numFmtId="43" fontId="62" fillId="36" borderId="16" xfId="33" applyNumberFormat="1" applyFont="1" applyFill="1" applyBorder="1" applyAlignment="1">
      <alignment horizontal="center" vertical="center"/>
    </xf>
    <xf numFmtId="43" fontId="62" fillId="36" borderId="17" xfId="33" applyNumberFormat="1" applyFont="1" applyFill="1" applyBorder="1" applyAlignment="1">
      <alignment horizontal="center" vertical="center"/>
    </xf>
    <xf numFmtId="43" fontId="4" fillId="36" borderId="15" xfId="33" applyNumberFormat="1" applyFont="1" applyFill="1" applyBorder="1" applyAlignment="1">
      <alignment horizontal="center" vertical="center"/>
    </xf>
    <xf numFmtId="43" fontId="4" fillId="36" borderId="16" xfId="33" applyNumberFormat="1" applyFont="1" applyFill="1" applyBorder="1" applyAlignment="1">
      <alignment horizontal="center" vertical="center"/>
    </xf>
    <xf numFmtId="43" fontId="4" fillId="36" borderId="17" xfId="33" applyNumberFormat="1" applyFont="1" applyFill="1" applyBorder="1" applyAlignment="1">
      <alignment horizontal="center" vertical="center"/>
    </xf>
    <xf numFmtId="43" fontId="62" fillId="36" borderId="25" xfId="33" applyNumberFormat="1" applyFont="1" applyFill="1" applyBorder="1" applyAlignment="1">
      <alignment horizontal="center" vertical="center"/>
    </xf>
    <xf numFmtId="43" fontId="62" fillId="36" borderId="52" xfId="33" applyNumberFormat="1" applyFont="1" applyFill="1" applyBorder="1" applyAlignment="1">
      <alignment horizontal="center" vertical="center"/>
    </xf>
    <xf numFmtId="43" fontId="62" fillId="36" borderId="29" xfId="33" applyNumberFormat="1" applyFont="1" applyFill="1" applyBorder="1" applyAlignment="1">
      <alignment horizontal="center" vertical="center"/>
    </xf>
    <xf numFmtId="43" fontId="59" fillId="0" borderId="45" xfId="33" applyNumberFormat="1" applyFont="1" applyBorder="1" applyAlignment="1">
      <alignment horizontal="center" vertical="center"/>
    </xf>
    <xf numFmtId="43" fontId="59" fillId="0" borderId="46" xfId="33" applyNumberFormat="1" applyFont="1" applyBorder="1" applyAlignment="1">
      <alignment horizontal="center" vertical="center"/>
    </xf>
    <xf numFmtId="43" fontId="59" fillId="0" borderId="47" xfId="33" applyNumberFormat="1" applyFont="1" applyBorder="1" applyAlignment="1">
      <alignment horizontal="center" vertical="center"/>
    </xf>
    <xf numFmtId="43" fontId="4" fillId="33" borderId="15" xfId="33" applyNumberFormat="1" applyFont="1" applyFill="1" applyBorder="1" applyAlignment="1">
      <alignment horizontal="center" vertical="center"/>
    </xf>
    <xf numFmtId="43" fontId="4" fillId="33" borderId="16" xfId="33" applyNumberFormat="1" applyFont="1" applyFill="1" applyBorder="1" applyAlignment="1">
      <alignment horizontal="center" vertical="center"/>
    </xf>
    <xf numFmtId="43" fontId="4" fillId="33" borderId="17" xfId="33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3" fontId="59" fillId="0" borderId="10" xfId="33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43" fontId="59" fillId="33" borderId="10" xfId="33" applyFont="1" applyFill="1" applyBorder="1" applyAlignment="1">
      <alignment horizontal="center" vertical="center"/>
    </xf>
    <xf numFmtId="0" fontId="59" fillId="0" borderId="27" xfId="0" applyFont="1" applyBorder="1" applyAlignment="1">
      <alignment wrapText="1"/>
    </xf>
    <xf numFmtId="0" fontId="59" fillId="0" borderId="53" xfId="0" applyFont="1" applyBorder="1" applyAlignment="1">
      <alignment wrapText="1"/>
    </xf>
    <xf numFmtId="0" fontId="59" fillId="0" borderId="31" xfId="0" applyFont="1" applyBorder="1" applyAlignment="1">
      <alignment wrapText="1"/>
    </xf>
    <xf numFmtId="0" fontId="59" fillId="0" borderId="27" xfId="0" applyFont="1" applyBorder="1" applyAlignment="1">
      <alignment horizontal="left" wrapText="1"/>
    </xf>
    <xf numFmtId="0" fontId="59" fillId="0" borderId="53" xfId="0" applyFont="1" applyBorder="1" applyAlignment="1">
      <alignment horizontal="left" wrapText="1"/>
    </xf>
    <xf numFmtId="0" fontId="59" fillId="0" borderId="31" xfId="0" applyFont="1" applyBorder="1" applyAlignment="1">
      <alignment horizontal="left" wrapText="1"/>
    </xf>
    <xf numFmtId="0" fontId="59" fillId="0" borderId="24" xfId="0" applyFont="1" applyBorder="1" applyAlignment="1">
      <alignment wrapText="1"/>
    </xf>
    <xf numFmtId="0" fontId="59" fillId="0" borderId="54" xfId="0" applyFont="1" applyBorder="1" applyAlignment="1">
      <alignment wrapText="1"/>
    </xf>
    <xf numFmtId="0" fontId="59" fillId="0" borderId="55" xfId="0" applyFont="1" applyBorder="1" applyAlignment="1">
      <alignment wrapText="1"/>
    </xf>
    <xf numFmtId="43" fontId="59" fillId="0" borderId="27" xfId="33" applyNumberFormat="1" applyFont="1" applyBorder="1" applyAlignment="1">
      <alignment horizontal="center" wrapText="1"/>
    </xf>
    <xf numFmtId="43" fontId="59" fillId="0" borderId="53" xfId="33" applyNumberFormat="1" applyFont="1" applyBorder="1" applyAlignment="1">
      <alignment horizontal="center" wrapText="1"/>
    </xf>
    <xf numFmtId="43" fontId="59" fillId="0" borderId="31" xfId="33" applyNumberFormat="1" applyFont="1" applyBorder="1" applyAlignment="1">
      <alignment horizontal="center" wrapText="1"/>
    </xf>
    <xf numFmtId="0" fontId="59" fillId="0" borderId="27" xfId="0" applyFont="1" applyBorder="1" applyAlignment="1">
      <alignment horizontal="right" wrapText="1"/>
    </xf>
    <xf numFmtId="0" fontId="59" fillId="0" borderId="31" xfId="0" applyFont="1" applyBorder="1" applyAlignment="1">
      <alignment horizontal="right" wrapText="1"/>
    </xf>
    <xf numFmtId="0" fontId="59" fillId="34" borderId="27" xfId="0" applyFont="1" applyFill="1" applyBorder="1" applyAlignment="1">
      <alignment horizontal="left" wrapText="1"/>
    </xf>
    <xf numFmtId="0" fontId="59" fillId="34" borderId="53" xfId="0" applyFont="1" applyFill="1" applyBorder="1" applyAlignment="1">
      <alignment horizontal="left" wrapText="1"/>
    </xf>
    <xf numFmtId="0" fontId="59" fillId="34" borderId="31" xfId="0" applyFont="1" applyFill="1" applyBorder="1" applyAlignment="1">
      <alignment horizontal="left" wrapText="1"/>
    </xf>
    <xf numFmtId="0" fontId="59" fillId="33" borderId="20" xfId="0" applyFont="1" applyFill="1" applyBorder="1" applyAlignment="1">
      <alignment horizontal="center" wrapText="1"/>
    </xf>
    <xf numFmtId="0" fontId="59" fillId="33" borderId="20" xfId="0" applyFont="1" applyFill="1" applyBorder="1" applyAlignment="1">
      <alignment horizontal="left" wrapText="1"/>
    </xf>
    <xf numFmtId="43" fontId="59" fillId="33" borderId="20" xfId="33" applyNumberFormat="1" applyFont="1" applyFill="1" applyBorder="1" applyAlignment="1">
      <alignment horizontal="right" wrapText="1"/>
    </xf>
    <xf numFmtId="43" fontId="59" fillId="33" borderId="20" xfId="33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57150</xdr:rowOff>
    </xdr:from>
    <xdr:to>
      <xdr:col>8</xdr:col>
      <xdr:colOff>333375</xdr:colOff>
      <xdr:row>31</xdr:row>
      <xdr:rowOff>180975</xdr:rowOff>
    </xdr:to>
    <xdr:grpSp>
      <xdr:nvGrpSpPr>
        <xdr:cNvPr id="1" name="กลุ่ม 30"/>
        <xdr:cNvGrpSpPr>
          <a:grpSpLocks/>
        </xdr:cNvGrpSpPr>
      </xdr:nvGrpSpPr>
      <xdr:grpSpPr>
        <a:xfrm>
          <a:off x="180975" y="895350"/>
          <a:ext cx="5114925" cy="5457825"/>
          <a:chOff x="0" y="1095375"/>
          <a:chExt cx="6229350" cy="8391525"/>
        </a:xfrm>
        <a:solidFill>
          <a:srgbClr val="FFFFFF"/>
        </a:solidFill>
      </xdr:grpSpPr>
      <xdr:sp>
        <xdr:nvSpPr>
          <xdr:cNvPr id="2" name="สี่เหลี่ยมผืนผ้า 2"/>
          <xdr:cNvSpPr>
            <a:spLocks/>
          </xdr:cNvSpPr>
        </xdr:nvSpPr>
        <xdr:spPr>
          <a:xfrm>
            <a:off x="1745775" y="1095375"/>
            <a:ext cx="2647474" cy="77411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เก็บข้อมูลจากหน่วยเบิกจ่าย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โดยแยกหน่วยงาน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/ ประเภทคชจ. / 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หล่งของเงิน ตามรูปแบบกรมบัญชีกลาง</a:t>
            </a:r>
          </a:p>
        </xdr:txBody>
      </xdr:sp>
      <xdr:sp>
        <xdr:nvSpPr>
          <xdr:cNvPr id="3" name="สี่เหลี่ยมผืนผ้า 3"/>
          <xdr:cNvSpPr>
            <a:spLocks/>
          </xdr:cNvSpPr>
        </xdr:nvSpPr>
        <xdr:spPr>
          <a:xfrm>
            <a:off x="10901" y="2352006"/>
            <a:ext cx="2242566" cy="70069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แยกประเภทคชจ.ออกเป็นมิติของผลผลิต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โดยแยกผลผลิตและแหล่งของเงินในแต่ละหน่วยงาน</a:t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0" y="3533113"/>
            <a:ext cx="2231665" cy="9314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ปันส่วนคชจ.หน่วยงานสนับสนุนให้หน่วยงานหลักในแต่ละประเภทผลผลิต </a:t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0" y="4965966"/>
            <a:ext cx="2242566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ต้นทุนต่อหน่วยผลผลิต                   ตามเกณฑ์กรมบัญชีกลาง</a:t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4007029" y="3533113"/>
            <a:ext cx="2222321" cy="92097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แยกประเภทคชจ.ตามกลุ่ม                โดยแยกหน่วยงานหลัก/สนับสนุน</a:t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3977440" y="2331027"/>
            <a:ext cx="2231665" cy="71118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จัดกลุ่มประเภทคชจ.เพื่อใช้เป็นข้อมูลคำนวณสัดส่วนคชจ.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4007029" y="6254065"/>
            <a:ext cx="2222321" cy="73216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ปันส่วนคชจ.ของหน่วยงานหลัก  (คณะ/วิทยาลัย)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ให้กับสาขาวิชา                ในแต่ละคณะ โดยใช้ค่า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FTES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สาขา</a:t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3986784" y="4965966"/>
            <a:ext cx="2242566" cy="75313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ปันส่วนคชจ.หน่วยงานสนับสนุนให้หน่วยงานหลัก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โดยใช้ค่า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FTES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คณะ</a:t>
            </a:r>
          </a:p>
        </xdr:txBody>
      </xdr:sp>
      <xdr:sp>
        <xdr:nvSpPr>
          <xdr:cNvPr id="10" name="สี่เหลี่ยมผืนผ้า 10"/>
          <xdr:cNvSpPr>
            <a:spLocks/>
          </xdr:cNvSpPr>
        </xdr:nvSpPr>
        <xdr:spPr>
          <a:xfrm>
            <a:off x="4007029" y="7529577"/>
            <a:ext cx="2222321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ต้นทุนต่อหน่วยหลักสูตรสาขา                     สัดส่วนค่าใช้จ่ายตาม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สกอ.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              </a:t>
            </a:r>
          </a:p>
        </xdr:txBody>
      </xdr:sp>
      <xdr:sp>
        <xdr:nvSpPr>
          <xdr:cNvPr id="11" name="ลูกศรลง 11"/>
          <xdr:cNvSpPr>
            <a:spLocks/>
          </xdr:cNvSpPr>
        </xdr:nvSpPr>
        <xdr:spPr>
          <a:xfrm>
            <a:off x="1065219" y="3168082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ลูกศรลง 12"/>
          <xdr:cNvSpPr>
            <a:spLocks/>
          </xdr:cNvSpPr>
        </xdr:nvSpPr>
        <xdr:spPr>
          <a:xfrm>
            <a:off x="5042659" y="3147103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ลูกศรลง 13"/>
          <xdr:cNvSpPr>
            <a:spLocks/>
          </xdr:cNvSpPr>
        </xdr:nvSpPr>
        <xdr:spPr>
          <a:xfrm>
            <a:off x="1044973" y="4569466"/>
            <a:ext cx="152619" cy="283214"/>
          </a:xfrm>
          <a:prstGeom prst="downArrow">
            <a:avLst>
              <a:gd name="adj" fmla="val 23064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ลูกศรลง 14"/>
          <xdr:cNvSpPr>
            <a:spLocks/>
          </xdr:cNvSpPr>
        </xdr:nvSpPr>
        <xdr:spPr>
          <a:xfrm>
            <a:off x="5011512" y="4579956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ลูกศรลง 15"/>
          <xdr:cNvSpPr>
            <a:spLocks/>
          </xdr:cNvSpPr>
        </xdr:nvSpPr>
        <xdr:spPr>
          <a:xfrm>
            <a:off x="5031757" y="5855468"/>
            <a:ext cx="141718" cy="283214"/>
          </a:xfrm>
          <a:prstGeom prst="downArrow">
            <a:avLst>
              <a:gd name="adj" fmla="val 2486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ลูกศรลง 16"/>
          <xdr:cNvSpPr>
            <a:spLocks/>
          </xdr:cNvSpPr>
        </xdr:nvSpPr>
        <xdr:spPr>
          <a:xfrm>
            <a:off x="5042659" y="7143567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สี่เหลี่ยมผืนผ้า 17"/>
          <xdr:cNvSpPr>
            <a:spLocks/>
          </xdr:cNvSpPr>
        </xdr:nvSpPr>
        <xdr:spPr>
          <a:xfrm>
            <a:off x="3997685" y="8754739"/>
            <a:ext cx="2222321" cy="73216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คณะ/วิทยาลัย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วิเคราะห์ข้อมูล                 และนำข้อมูลไปใช้ประโยชน์                     ในระดับคณะ/วิทยาลัย</a:t>
            </a:r>
          </a:p>
        </xdr:txBody>
      </xdr:sp>
      <xdr:sp>
        <xdr:nvSpPr>
          <xdr:cNvPr id="18" name="ลูกศรลง 18"/>
          <xdr:cNvSpPr>
            <a:spLocks/>
          </xdr:cNvSpPr>
        </xdr:nvSpPr>
        <xdr:spPr>
          <a:xfrm>
            <a:off x="5072248" y="8377121"/>
            <a:ext cx="152619" cy="283214"/>
          </a:xfrm>
          <a:prstGeom prst="downArrow">
            <a:avLst>
              <a:gd name="adj" fmla="val 23064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ลูกศรซ้าย-ขวา-ขึ้น 19"/>
          <xdr:cNvSpPr>
            <a:spLocks/>
          </xdr:cNvSpPr>
        </xdr:nvSpPr>
        <xdr:spPr>
          <a:xfrm>
            <a:off x="2597639" y="1900961"/>
            <a:ext cx="903256" cy="763629"/>
          </a:xfrm>
          <a:custGeom>
            <a:pathLst>
              <a:path h="763817" w="902951">
                <a:moveTo>
                  <a:pt x="0" y="680698"/>
                </a:moveTo>
                <a:lnTo>
                  <a:pt x="190954" y="597580"/>
                </a:lnTo>
                <a:lnTo>
                  <a:pt x="190954" y="648125"/>
                </a:lnTo>
                <a:lnTo>
                  <a:pt x="418903" y="648125"/>
                </a:lnTo>
                <a:lnTo>
                  <a:pt x="418903" y="190954"/>
                </a:lnTo>
                <a:lnTo>
                  <a:pt x="368357" y="190954"/>
                </a:lnTo>
                <a:lnTo>
                  <a:pt x="451476" y="0"/>
                </a:lnTo>
                <a:lnTo>
                  <a:pt x="534594" y="190954"/>
                </a:lnTo>
                <a:lnTo>
                  <a:pt x="484048" y="190954"/>
                </a:lnTo>
                <a:lnTo>
                  <a:pt x="484048" y="648125"/>
                </a:lnTo>
                <a:lnTo>
                  <a:pt x="711997" y="648125"/>
                </a:lnTo>
                <a:lnTo>
                  <a:pt x="711997" y="597580"/>
                </a:lnTo>
                <a:lnTo>
                  <a:pt x="902951" y="680698"/>
                </a:lnTo>
                <a:lnTo>
                  <a:pt x="711997" y="763817"/>
                </a:lnTo>
                <a:lnTo>
                  <a:pt x="711997" y="713271"/>
                </a:lnTo>
                <a:lnTo>
                  <a:pt x="190954" y="713271"/>
                </a:lnTo>
                <a:lnTo>
                  <a:pt x="190954" y="763817"/>
                </a:lnTo>
                <a:lnTo>
                  <a:pt x="0" y="680698"/>
                </a:lnTo>
                <a:close/>
              </a:path>
            </a:pathLst>
          </a:cu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สี่เหลี่ยมผืนผ้า 20"/>
          <xdr:cNvSpPr>
            <a:spLocks/>
          </xdr:cNvSpPr>
        </xdr:nvSpPr>
        <xdr:spPr>
          <a:xfrm>
            <a:off x="0" y="6233086"/>
            <a:ext cx="2242566" cy="76362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วิเคราะห์เปรียบเทียบผลการคำนวณต้นทุนต่อหน่วยผลผลิตระหว่าง         ปีงปม.</a:t>
            </a:r>
          </a:p>
        </xdr:txBody>
      </xdr:sp>
      <xdr:sp>
        <xdr:nvSpPr>
          <xdr:cNvPr id="21" name="สี่เหลี่ยมผืนผ้า 21"/>
          <xdr:cNvSpPr>
            <a:spLocks/>
          </xdr:cNvSpPr>
        </xdr:nvSpPr>
        <xdr:spPr>
          <a:xfrm>
            <a:off x="0" y="7498109"/>
            <a:ext cx="2242566" cy="74265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จัดทำแผนเพิ่มประสิทธิภาพการ                   ลดค่าใช้จ่ายและการปรับปรุงกิจกรรม</a:t>
            </a:r>
          </a:p>
        </xdr:txBody>
      </xdr:sp>
      <xdr:sp>
        <xdr:nvSpPr>
          <xdr:cNvPr id="22" name="สี่เหลี่ยมผืนผ้า 22"/>
          <xdr:cNvSpPr>
            <a:spLocks/>
          </xdr:cNvSpPr>
        </xdr:nvSpPr>
        <xdr:spPr>
          <a:xfrm>
            <a:off x="0" y="8754739"/>
            <a:ext cx="2242566" cy="7216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รายงานผลตามแผนเพิ่มประสิทธิภาพฯ</a:t>
            </a:r>
          </a:p>
        </xdr:txBody>
      </xdr:sp>
      <xdr:sp>
        <xdr:nvSpPr>
          <xdr:cNvPr id="23" name="ลูกศรลง 23"/>
          <xdr:cNvSpPr>
            <a:spLocks/>
          </xdr:cNvSpPr>
        </xdr:nvSpPr>
        <xdr:spPr>
          <a:xfrm>
            <a:off x="1034072" y="5813510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ลูกศรลง 24"/>
          <xdr:cNvSpPr>
            <a:spLocks/>
          </xdr:cNvSpPr>
        </xdr:nvSpPr>
        <xdr:spPr>
          <a:xfrm>
            <a:off x="1013827" y="7101609"/>
            <a:ext cx="152619" cy="293703"/>
          </a:xfrm>
          <a:prstGeom prst="downArrow">
            <a:avLst>
              <a:gd name="adj" fmla="val 2402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ลูกศรลง 25"/>
          <xdr:cNvSpPr>
            <a:spLocks/>
          </xdr:cNvSpPr>
        </xdr:nvSpPr>
        <xdr:spPr>
          <a:xfrm>
            <a:off x="1024728" y="8335163"/>
            <a:ext cx="141718" cy="272725"/>
          </a:xfrm>
          <a:prstGeom prst="downArrow">
            <a:avLst>
              <a:gd name="adj" fmla="val 2389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0</xdr:row>
      <xdr:rowOff>47625</xdr:rowOff>
    </xdr:from>
    <xdr:to>
      <xdr:col>27</xdr:col>
      <xdr:colOff>485775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07375" y="47625"/>
          <a:ext cx="2238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SV-1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คชจ.หน่วยงาน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</xdr:colOff>
      <xdr:row>0</xdr:row>
      <xdr:rowOff>47625</xdr:rowOff>
    </xdr:from>
    <xdr:to>
      <xdr:col>36</xdr:col>
      <xdr:colOff>495300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0" y="47625"/>
          <a:ext cx="2390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SV-1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คชจ.หน่วยงาน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6">
      <selection activeCell="K7" sqref="K7"/>
    </sheetView>
  </sheetViews>
  <sheetFormatPr defaultColWidth="9.140625" defaultRowHeight="15"/>
  <cols>
    <col min="1" max="2" width="9.00390625" style="18" customWidth="1"/>
    <col min="3" max="3" width="11.421875" style="18" customWidth="1"/>
    <col min="4" max="16384" width="9.00390625" style="18" customWidth="1"/>
  </cols>
  <sheetData>
    <row r="1" spans="1:9" s="67" customFormat="1" ht="21">
      <c r="A1" s="254" t="s">
        <v>239</v>
      </c>
      <c r="B1" s="254"/>
      <c r="C1" s="254"/>
      <c r="D1" s="254"/>
      <c r="E1" s="254" t="s">
        <v>240</v>
      </c>
      <c r="F1" s="254"/>
      <c r="G1" s="254"/>
      <c r="H1" s="254"/>
      <c r="I1" s="254"/>
    </row>
    <row r="2" spans="1:9" s="70" customFormat="1" ht="21">
      <c r="A2" s="255" t="s">
        <v>241</v>
      </c>
      <c r="B2" s="255"/>
      <c r="C2" s="255"/>
      <c r="D2" s="255"/>
      <c r="E2" s="255" t="s">
        <v>242</v>
      </c>
      <c r="F2" s="255"/>
      <c r="G2" s="255"/>
      <c r="H2" s="255"/>
      <c r="I2" s="255"/>
    </row>
    <row r="3" spans="1:9" ht="24" customHeight="1">
      <c r="A3" s="256" t="s">
        <v>243</v>
      </c>
      <c r="B3" s="256"/>
      <c r="C3" s="256"/>
      <c r="D3" s="256"/>
      <c r="F3" s="257" t="s">
        <v>244</v>
      </c>
      <c r="G3" s="257"/>
      <c r="H3" s="257"/>
      <c r="I3" s="257"/>
    </row>
  </sheetData>
  <sheetProtection/>
  <mergeCells count="6">
    <mergeCell ref="A1:D1"/>
    <mergeCell ref="E1:I1"/>
    <mergeCell ref="A2:D2"/>
    <mergeCell ref="E2:I2"/>
    <mergeCell ref="A3:D3"/>
    <mergeCell ref="F3:I3"/>
  </mergeCells>
  <printOptions/>
  <pageMargins left="0.7" right="0.7" top="0.75" bottom="0.43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63"/>
  <sheetViews>
    <sheetView zoomScalePageLayoutView="0" workbookViewId="0" topLeftCell="A72">
      <selection activeCell="B78" sqref="B78"/>
    </sheetView>
  </sheetViews>
  <sheetFormatPr defaultColWidth="9.140625" defaultRowHeight="15"/>
  <cols>
    <col min="1" max="1" width="4.8515625" style="161" bestFit="1" customWidth="1"/>
    <col min="2" max="2" width="48.8515625" style="161" customWidth="1"/>
    <col min="3" max="3" width="7.140625" style="169" hidden="1" customWidth="1"/>
    <col min="4" max="4" width="4.421875" style="169" hidden="1" customWidth="1"/>
    <col min="5" max="5" width="7.140625" style="169" hidden="1" customWidth="1"/>
    <col min="6" max="6" width="4.421875" style="169" hidden="1" customWidth="1"/>
    <col min="7" max="7" width="7.140625" style="169" hidden="1" customWidth="1"/>
    <col min="8" max="8" width="4.421875" style="169" hidden="1" customWidth="1"/>
    <col min="9" max="10" width="8.8515625" style="169" hidden="1" customWidth="1"/>
    <col min="11" max="12" width="7.421875" style="169" hidden="1" customWidth="1"/>
    <col min="13" max="14" width="8.8515625" style="169" hidden="1" customWidth="1"/>
    <col min="15" max="15" width="7.140625" style="169" hidden="1" customWidth="1"/>
    <col min="16" max="16" width="5.421875" style="169" hidden="1" customWidth="1"/>
    <col min="17" max="17" width="7.140625" style="169" hidden="1" customWidth="1"/>
    <col min="18" max="18" width="6.421875" style="169" hidden="1" customWidth="1"/>
    <col min="19" max="19" width="7.140625" style="169" hidden="1" customWidth="1"/>
    <col min="20" max="20" width="6.421875" style="169" hidden="1" customWidth="1"/>
    <col min="21" max="21" width="6.421875" style="170" bestFit="1" customWidth="1"/>
    <col min="22" max="22" width="7.57421875" style="170" bestFit="1" customWidth="1"/>
    <col min="23" max="23" width="6.421875" style="170" bestFit="1" customWidth="1"/>
    <col min="24" max="24" width="7.57421875" style="170" bestFit="1" customWidth="1"/>
    <col min="25" max="25" width="6.421875" style="170" bestFit="1" customWidth="1"/>
    <col min="26" max="26" width="7.57421875" style="170" bestFit="1" customWidth="1"/>
    <col min="27" max="28" width="9.8515625" style="170" bestFit="1" customWidth="1"/>
    <col min="29" max="30" width="8.8515625" style="170" bestFit="1" customWidth="1"/>
    <col min="31" max="32" width="9.8515625" style="170" bestFit="1" customWidth="1"/>
    <col min="33" max="33" width="6.421875" style="170" bestFit="1" customWidth="1"/>
    <col min="34" max="34" width="7.57421875" style="170" bestFit="1" customWidth="1"/>
    <col min="35" max="35" width="6.421875" style="170" bestFit="1" customWidth="1"/>
    <col min="36" max="36" width="7.57421875" style="170" bestFit="1" customWidth="1"/>
    <col min="37" max="38" width="9.8515625" style="170" bestFit="1" customWidth="1"/>
    <col min="39" max="16384" width="9.00390625" style="161" customWidth="1"/>
  </cols>
  <sheetData>
    <row r="1" spans="1:38" ht="21">
      <c r="A1" s="334" t="s">
        <v>327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6"/>
    </row>
    <row r="2" spans="1:38" ht="21">
      <c r="A2" s="337" t="s">
        <v>328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9"/>
    </row>
    <row r="3" spans="1:38" ht="21">
      <c r="A3" s="337" t="s">
        <v>329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9"/>
    </row>
    <row r="4" spans="1:38" ht="21">
      <c r="A4" s="340" t="s">
        <v>330</v>
      </c>
      <c r="B4" s="340" t="s">
        <v>331</v>
      </c>
      <c r="C4" s="343" t="s">
        <v>332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  <c r="U4" s="343" t="s">
        <v>333</v>
      </c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5"/>
    </row>
    <row r="5" spans="1:38" ht="21">
      <c r="A5" s="341"/>
      <c r="B5" s="341"/>
      <c r="C5" s="343" t="s">
        <v>195</v>
      </c>
      <c r="D5" s="344"/>
      <c r="E5" s="344"/>
      <c r="F5" s="344"/>
      <c r="G5" s="344"/>
      <c r="H5" s="345"/>
      <c r="I5" s="343" t="s">
        <v>334</v>
      </c>
      <c r="J5" s="344"/>
      <c r="K5" s="344"/>
      <c r="L5" s="344"/>
      <c r="M5" s="344"/>
      <c r="N5" s="345"/>
      <c r="O5" s="343" t="s">
        <v>335</v>
      </c>
      <c r="P5" s="344"/>
      <c r="Q5" s="344"/>
      <c r="R5" s="344"/>
      <c r="S5" s="344"/>
      <c r="T5" s="345"/>
      <c r="U5" s="343" t="s">
        <v>195</v>
      </c>
      <c r="V5" s="344"/>
      <c r="W5" s="344"/>
      <c r="X5" s="344"/>
      <c r="Y5" s="344"/>
      <c r="Z5" s="345"/>
      <c r="AA5" s="343" t="s">
        <v>334</v>
      </c>
      <c r="AB5" s="344"/>
      <c r="AC5" s="344"/>
      <c r="AD5" s="344"/>
      <c r="AE5" s="344"/>
      <c r="AF5" s="345"/>
      <c r="AG5" s="343" t="s">
        <v>335</v>
      </c>
      <c r="AH5" s="344"/>
      <c r="AI5" s="344"/>
      <c r="AJ5" s="344"/>
      <c r="AK5" s="344"/>
      <c r="AL5" s="345"/>
    </row>
    <row r="6" spans="1:38" ht="21">
      <c r="A6" s="341"/>
      <c r="B6" s="341"/>
      <c r="C6" s="343" t="s">
        <v>336</v>
      </c>
      <c r="D6" s="345"/>
      <c r="E6" s="343" t="s">
        <v>337</v>
      </c>
      <c r="F6" s="345"/>
      <c r="G6" s="343" t="s">
        <v>14</v>
      </c>
      <c r="H6" s="345"/>
      <c r="I6" s="343" t="s">
        <v>336</v>
      </c>
      <c r="J6" s="345"/>
      <c r="K6" s="343" t="s">
        <v>337</v>
      </c>
      <c r="L6" s="345"/>
      <c r="M6" s="343" t="s">
        <v>14</v>
      </c>
      <c r="N6" s="345"/>
      <c r="O6" s="343" t="s">
        <v>336</v>
      </c>
      <c r="P6" s="345"/>
      <c r="Q6" s="343" t="s">
        <v>337</v>
      </c>
      <c r="R6" s="345"/>
      <c r="S6" s="343" t="s">
        <v>14</v>
      </c>
      <c r="T6" s="345"/>
      <c r="U6" s="343" t="s">
        <v>336</v>
      </c>
      <c r="V6" s="345"/>
      <c r="W6" s="343" t="s">
        <v>337</v>
      </c>
      <c r="X6" s="345"/>
      <c r="Y6" s="343" t="s">
        <v>14</v>
      </c>
      <c r="Z6" s="345"/>
      <c r="AA6" s="343" t="s">
        <v>336</v>
      </c>
      <c r="AB6" s="345"/>
      <c r="AC6" s="343" t="s">
        <v>337</v>
      </c>
      <c r="AD6" s="345"/>
      <c r="AE6" s="343" t="s">
        <v>14</v>
      </c>
      <c r="AF6" s="345"/>
      <c r="AG6" s="343" t="s">
        <v>336</v>
      </c>
      <c r="AH6" s="345"/>
      <c r="AI6" s="343" t="s">
        <v>337</v>
      </c>
      <c r="AJ6" s="345"/>
      <c r="AK6" s="343" t="s">
        <v>14</v>
      </c>
      <c r="AL6" s="345"/>
    </row>
    <row r="7" spans="1:38" s="164" customFormat="1" ht="63">
      <c r="A7" s="342"/>
      <c r="B7" s="342"/>
      <c r="C7" s="162" t="s">
        <v>338</v>
      </c>
      <c r="D7" s="162" t="s">
        <v>339</v>
      </c>
      <c r="E7" s="162" t="s">
        <v>338</v>
      </c>
      <c r="F7" s="162" t="s">
        <v>339</v>
      </c>
      <c r="G7" s="162" t="s">
        <v>338</v>
      </c>
      <c r="H7" s="162" t="s">
        <v>339</v>
      </c>
      <c r="I7" s="162" t="s">
        <v>338</v>
      </c>
      <c r="J7" s="162" t="s">
        <v>339</v>
      </c>
      <c r="K7" s="162" t="s">
        <v>338</v>
      </c>
      <c r="L7" s="162" t="s">
        <v>339</v>
      </c>
      <c r="M7" s="162" t="s">
        <v>338</v>
      </c>
      <c r="N7" s="162" t="s">
        <v>339</v>
      </c>
      <c r="O7" s="162" t="s">
        <v>338</v>
      </c>
      <c r="P7" s="162" t="s">
        <v>339</v>
      </c>
      <c r="Q7" s="162" t="s">
        <v>338</v>
      </c>
      <c r="R7" s="162" t="s">
        <v>339</v>
      </c>
      <c r="S7" s="162" t="s">
        <v>338</v>
      </c>
      <c r="T7" s="162" t="s">
        <v>339</v>
      </c>
      <c r="U7" s="163" t="s">
        <v>338</v>
      </c>
      <c r="V7" s="163" t="s">
        <v>339</v>
      </c>
      <c r="W7" s="163" t="s">
        <v>338</v>
      </c>
      <c r="X7" s="163" t="s">
        <v>339</v>
      </c>
      <c r="Y7" s="163" t="s">
        <v>338</v>
      </c>
      <c r="Z7" s="163" t="s">
        <v>339</v>
      </c>
      <c r="AA7" s="163" t="s">
        <v>338</v>
      </c>
      <c r="AB7" s="163" t="s">
        <v>339</v>
      </c>
      <c r="AC7" s="163" t="s">
        <v>338</v>
      </c>
      <c r="AD7" s="163" t="s">
        <v>339</v>
      </c>
      <c r="AE7" s="163" t="s">
        <v>338</v>
      </c>
      <c r="AF7" s="163" t="s">
        <v>339</v>
      </c>
      <c r="AG7" s="163" t="s">
        <v>338</v>
      </c>
      <c r="AH7" s="163" t="s">
        <v>339</v>
      </c>
      <c r="AI7" s="163" t="s">
        <v>338</v>
      </c>
      <c r="AJ7" s="163" t="s">
        <v>339</v>
      </c>
      <c r="AK7" s="163" t="s">
        <v>338</v>
      </c>
      <c r="AL7" s="163" t="s">
        <v>339</v>
      </c>
    </row>
    <row r="8" spans="1:38" ht="21">
      <c r="A8" s="165">
        <v>1</v>
      </c>
      <c r="B8" s="166" t="s">
        <v>340</v>
      </c>
      <c r="C8" s="167"/>
      <c r="D8" s="167"/>
      <c r="E8" s="167"/>
      <c r="F8" s="167"/>
      <c r="G8" s="167">
        <v>0</v>
      </c>
      <c r="H8" s="167">
        <v>0</v>
      </c>
      <c r="I8" s="167">
        <v>66</v>
      </c>
      <c r="J8" s="167">
        <v>69.14</v>
      </c>
      <c r="K8" s="167"/>
      <c r="L8" s="167"/>
      <c r="M8" s="167">
        <v>66</v>
      </c>
      <c r="N8" s="167">
        <v>69.14</v>
      </c>
      <c r="O8" s="167"/>
      <c r="P8" s="167"/>
      <c r="Q8" s="167"/>
      <c r="R8" s="167"/>
      <c r="S8" s="167">
        <v>0</v>
      </c>
      <c r="T8" s="167">
        <v>0</v>
      </c>
      <c r="U8" s="168">
        <f aca="true" t="shared" si="0" ref="U8:U15">SUM(S8:T8)</f>
        <v>0</v>
      </c>
      <c r="V8" s="168"/>
      <c r="W8" s="168"/>
      <c r="X8" s="168"/>
      <c r="Y8" s="168">
        <v>0</v>
      </c>
      <c r="Z8" s="168">
        <v>0</v>
      </c>
      <c r="AA8" s="168">
        <v>67</v>
      </c>
      <c r="AB8" s="168">
        <v>61.97</v>
      </c>
      <c r="AC8" s="168"/>
      <c r="AD8" s="168"/>
      <c r="AE8" s="168">
        <v>67</v>
      </c>
      <c r="AF8" s="168">
        <v>61.97</v>
      </c>
      <c r="AG8" s="168"/>
      <c r="AH8" s="168"/>
      <c r="AI8" s="168"/>
      <c r="AJ8" s="168"/>
      <c r="AK8" s="168">
        <v>0</v>
      </c>
      <c r="AL8" s="168">
        <v>0</v>
      </c>
    </row>
    <row r="9" spans="1:38" ht="21">
      <c r="A9" s="165">
        <v>2</v>
      </c>
      <c r="B9" s="166" t="s">
        <v>341</v>
      </c>
      <c r="C9" s="167"/>
      <c r="D9" s="167"/>
      <c r="E9" s="167"/>
      <c r="F9" s="167"/>
      <c r="G9" s="167">
        <v>0</v>
      </c>
      <c r="H9" s="167">
        <v>0</v>
      </c>
      <c r="I9" s="167">
        <v>9</v>
      </c>
      <c r="J9" s="167">
        <v>5.64</v>
      </c>
      <c r="K9" s="167"/>
      <c r="L9" s="167"/>
      <c r="M9" s="167">
        <v>9</v>
      </c>
      <c r="N9" s="167">
        <v>5.64</v>
      </c>
      <c r="O9" s="167"/>
      <c r="P9" s="167"/>
      <c r="Q9" s="167"/>
      <c r="R9" s="167"/>
      <c r="S9" s="167">
        <v>0</v>
      </c>
      <c r="T9" s="167">
        <v>0</v>
      </c>
      <c r="U9" s="168">
        <f t="shared" si="0"/>
        <v>0</v>
      </c>
      <c r="V9" s="168"/>
      <c r="W9" s="168"/>
      <c r="X9" s="168"/>
      <c r="Y9" s="168">
        <v>0</v>
      </c>
      <c r="Z9" s="168">
        <v>0</v>
      </c>
      <c r="AA9" s="168">
        <v>9</v>
      </c>
      <c r="AB9" s="168">
        <v>6.03</v>
      </c>
      <c r="AC9" s="168"/>
      <c r="AD9" s="168"/>
      <c r="AE9" s="168">
        <v>9</v>
      </c>
      <c r="AF9" s="168">
        <v>6.03</v>
      </c>
      <c r="AG9" s="168"/>
      <c r="AH9" s="168"/>
      <c r="AI9" s="168"/>
      <c r="AJ9" s="168"/>
      <c r="AK9" s="168">
        <v>0</v>
      </c>
      <c r="AL9" s="168">
        <v>0</v>
      </c>
    </row>
    <row r="10" spans="1:38" ht="21">
      <c r="A10" s="165">
        <v>3</v>
      </c>
      <c r="B10" s="166" t="s">
        <v>342</v>
      </c>
      <c r="C10" s="167"/>
      <c r="D10" s="167"/>
      <c r="E10" s="167"/>
      <c r="F10" s="167"/>
      <c r="G10" s="167">
        <v>0</v>
      </c>
      <c r="H10" s="167">
        <v>0</v>
      </c>
      <c r="I10" s="167">
        <v>100</v>
      </c>
      <c r="J10" s="167">
        <v>87.22</v>
      </c>
      <c r="K10" s="167"/>
      <c r="L10" s="167"/>
      <c r="M10" s="167">
        <v>100</v>
      </c>
      <c r="N10" s="167">
        <v>87.22</v>
      </c>
      <c r="O10" s="167"/>
      <c r="P10" s="167"/>
      <c r="Q10" s="167"/>
      <c r="R10" s="167"/>
      <c r="S10" s="167">
        <v>0</v>
      </c>
      <c r="T10" s="167">
        <v>0</v>
      </c>
      <c r="U10" s="168">
        <f t="shared" si="0"/>
        <v>0</v>
      </c>
      <c r="V10" s="168"/>
      <c r="W10" s="168"/>
      <c r="X10" s="168"/>
      <c r="Y10" s="168">
        <v>0</v>
      </c>
      <c r="Z10" s="168">
        <v>0</v>
      </c>
      <c r="AA10" s="168">
        <v>103</v>
      </c>
      <c r="AB10" s="168">
        <v>97.72</v>
      </c>
      <c r="AC10" s="168"/>
      <c r="AD10" s="168"/>
      <c r="AE10" s="168">
        <v>103</v>
      </c>
      <c r="AF10" s="168">
        <v>97.72</v>
      </c>
      <c r="AG10" s="168"/>
      <c r="AH10" s="168"/>
      <c r="AI10" s="168"/>
      <c r="AJ10" s="168"/>
      <c r="AK10" s="168">
        <v>0</v>
      </c>
      <c r="AL10" s="168">
        <v>0</v>
      </c>
    </row>
    <row r="11" spans="1:38" ht="21">
      <c r="A11" s="165">
        <v>4</v>
      </c>
      <c r="B11" s="166" t="s">
        <v>343</v>
      </c>
      <c r="C11" s="167"/>
      <c r="D11" s="167"/>
      <c r="E11" s="167"/>
      <c r="F11" s="167"/>
      <c r="G11" s="167">
        <v>0</v>
      </c>
      <c r="H11" s="167">
        <v>0</v>
      </c>
      <c r="I11" s="167"/>
      <c r="J11" s="167"/>
      <c r="K11" s="167"/>
      <c r="L11" s="167"/>
      <c r="M11" s="167">
        <v>0</v>
      </c>
      <c r="N11" s="167">
        <v>0</v>
      </c>
      <c r="O11" s="167"/>
      <c r="P11" s="167"/>
      <c r="Q11" s="167"/>
      <c r="R11" s="167"/>
      <c r="S11" s="167">
        <v>0</v>
      </c>
      <c r="T11" s="167">
        <v>0</v>
      </c>
      <c r="U11" s="168">
        <f t="shared" si="0"/>
        <v>0</v>
      </c>
      <c r="V11" s="168"/>
      <c r="W11" s="168"/>
      <c r="X11" s="168"/>
      <c r="Y11" s="168">
        <v>0</v>
      </c>
      <c r="Z11" s="168">
        <v>0</v>
      </c>
      <c r="AA11" s="168">
        <v>1</v>
      </c>
      <c r="AB11" s="168">
        <v>0.31</v>
      </c>
      <c r="AC11" s="168"/>
      <c r="AD11" s="168"/>
      <c r="AE11" s="168">
        <v>1</v>
      </c>
      <c r="AF11" s="168">
        <v>0.31</v>
      </c>
      <c r="AG11" s="168"/>
      <c r="AH11" s="168"/>
      <c r="AI11" s="168"/>
      <c r="AJ11" s="168"/>
      <c r="AK11" s="168">
        <v>0</v>
      </c>
      <c r="AL11" s="168">
        <v>0</v>
      </c>
    </row>
    <row r="12" spans="1:38" ht="21">
      <c r="A12" s="165">
        <v>5</v>
      </c>
      <c r="B12" s="166" t="s">
        <v>344</v>
      </c>
      <c r="C12" s="167"/>
      <c r="D12" s="167"/>
      <c r="E12" s="167"/>
      <c r="F12" s="167"/>
      <c r="G12" s="167">
        <v>0</v>
      </c>
      <c r="H12" s="167">
        <v>0</v>
      </c>
      <c r="I12" s="167">
        <v>8</v>
      </c>
      <c r="J12" s="167">
        <v>5.83</v>
      </c>
      <c r="K12" s="167"/>
      <c r="L12" s="167"/>
      <c r="M12" s="167">
        <v>8</v>
      </c>
      <c r="N12" s="167">
        <v>5.83</v>
      </c>
      <c r="O12" s="167"/>
      <c r="P12" s="167"/>
      <c r="Q12" s="167"/>
      <c r="R12" s="167"/>
      <c r="S12" s="167">
        <v>0</v>
      </c>
      <c r="T12" s="167">
        <v>0</v>
      </c>
      <c r="U12" s="168">
        <f t="shared" si="0"/>
        <v>0</v>
      </c>
      <c r="V12" s="168"/>
      <c r="W12" s="168"/>
      <c r="X12" s="168"/>
      <c r="Y12" s="168">
        <v>0</v>
      </c>
      <c r="Z12" s="168">
        <v>0</v>
      </c>
      <c r="AA12" s="168">
        <v>9</v>
      </c>
      <c r="AB12" s="168">
        <v>7.69</v>
      </c>
      <c r="AC12" s="168"/>
      <c r="AD12" s="168"/>
      <c r="AE12" s="168">
        <v>9</v>
      </c>
      <c r="AF12" s="168">
        <v>7.69</v>
      </c>
      <c r="AG12" s="168"/>
      <c r="AH12" s="168"/>
      <c r="AI12" s="168"/>
      <c r="AJ12" s="168"/>
      <c r="AK12" s="168">
        <v>0</v>
      </c>
      <c r="AL12" s="168">
        <v>0</v>
      </c>
    </row>
    <row r="13" spans="1:38" ht="21">
      <c r="A13" s="165">
        <v>6</v>
      </c>
      <c r="B13" s="166" t="s">
        <v>345</v>
      </c>
      <c r="C13" s="167"/>
      <c r="D13" s="167"/>
      <c r="E13" s="167"/>
      <c r="F13" s="167"/>
      <c r="G13" s="167">
        <v>0</v>
      </c>
      <c r="H13" s="167">
        <v>0</v>
      </c>
      <c r="I13" s="167">
        <v>13</v>
      </c>
      <c r="J13" s="167">
        <v>9.42</v>
      </c>
      <c r="K13" s="167"/>
      <c r="L13" s="167"/>
      <c r="M13" s="167">
        <v>13</v>
      </c>
      <c r="N13" s="167">
        <v>9.42</v>
      </c>
      <c r="O13" s="167"/>
      <c r="P13" s="167"/>
      <c r="Q13" s="167"/>
      <c r="R13" s="167"/>
      <c r="S13" s="167">
        <v>0</v>
      </c>
      <c r="T13" s="167">
        <v>0</v>
      </c>
      <c r="U13" s="168">
        <f t="shared" si="0"/>
        <v>0</v>
      </c>
      <c r="V13" s="168"/>
      <c r="W13" s="168"/>
      <c r="X13" s="168"/>
      <c r="Y13" s="168">
        <v>0</v>
      </c>
      <c r="Z13" s="168">
        <v>0</v>
      </c>
      <c r="AA13" s="168">
        <v>15</v>
      </c>
      <c r="AB13" s="168">
        <v>12.53</v>
      </c>
      <c r="AC13" s="168"/>
      <c r="AD13" s="168"/>
      <c r="AE13" s="168">
        <v>15</v>
      </c>
      <c r="AF13" s="168">
        <v>12.53</v>
      </c>
      <c r="AG13" s="168"/>
      <c r="AH13" s="168"/>
      <c r="AI13" s="168"/>
      <c r="AJ13" s="168"/>
      <c r="AK13" s="168">
        <v>0</v>
      </c>
      <c r="AL13" s="168">
        <v>0</v>
      </c>
    </row>
    <row r="14" spans="1:38" ht="21">
      <c r="A14" s="165">
        <v>7</v>
      </c>
      <c r="B14" s="166" t="s">
        <v>346</v>
      </c>
      <c r="C14" s="167"/>
      <c r="D14" s="167"/>
      <c r="E14" s="167"/>
      <c r="F14" s="167"/>
      <c r="G14" s="167">
        <v>0</v>
      </c>
      <c r="H14" s="167">
        <v>0</v>
      </c>
      <c r="I14" s="167">
        <v>227</v>
      </c>
      <c r="J14" s="167">
        <v>227</v>
      </c>
      <c r="K14" s="167"/>
      <c r="L14" s="167"/>
      <c r="M14" s="167">
        <v>227</v>
      </c>
      <c r="N14" s="167">
        <v>227</v>
      </c>
      <c r="O14" s="167"/>
      <c r="P14" s="167"/>
      <c r="Q14" s="167"/>
      <c r="R14" s="167"/>
      <c r="S14" s="167">
        <v>0</v>
      </c>
      <c r="T14" s="167">
        <v>0</v>
      </c>
      <c r="U14" s="168">
        <f t="shared" si="0"/>
        <v>0</v>
      </c>
      <c r="V14" s="168"/>
      <c r="W14" s="168"/>
      <c r="X14" s="168"/>
      <c r="Y14" s="168">
        <v>0</v>
      </c>
      <c r="Z14" s="168">
        <v>0</v>
      </c>
      <c r="AA14" s="168">
        <v>230</v>
      </c>
      <c r="AB14" s="168">
        <v>217.03</v>
      </c>
      <c r="AC14" s="168"/>
      <c r="AD14" s="168"/>
      <c r="AE14" s="168">
        <v>230</v>
      </c>
      <c r="AF14" s="168">
        <v>217.03</v>
      </c>
      <c r="AG14" s="168"/>
      <c r="AH14" s="168"/>
      <c r="AI14" s="168"/>
      <c r="AJ14" s="168"/>
      <c r="AK14" s="168">
        <v>0</v>
      </c>
      <c r="AL14" s="168">
        <v>0</v>
      </c>
    </row>
    <row r="15" spans="1:38" ht="21">
      <c r="A15" s="165">
        <v>8</v>
      </c>
      <c r="B15" s="166" t="s">
        <v>347</v>
      </c>
      <c r="C15" s="167"/>
      <c r="D15" s="167"/>
      <c r="E15" s="167"/>
      <c r="F15" s="167"/>
      <c r="G15" s="167">
        <v>0</v>
      </c>
      <c r="H15" s="167">
        <v>0</v>
      </c>
      <c r="I15" s="167">
        <v>140</v>
      </c>
      <c r="J15" s="167">
        <v>130.28</v>
      </c>
      <c r="K15" s="167"/>
      <c r="L15" s="167"/>
      <c r="M15" s="167">
        <v>140</v>
      </c>
      <c r="N15" s="167">
        <v>130.28</v>
      </c>
      <c r="O15" s="167"/>
      <c r="P15" s="167"/>
      <c r="Q15" s="167"/>
      <c r="R15" s="167"/>
      <c r="S15" s="167">
        <v>0</v>
      </c>
      <c r="T15" s="167">
        <v>0</v>
      </c>
      <c r="U15" s="168">
        <f t="shared" si="0"/>
        <v>0</v>
      </c>
      <c r="V15" s="168"/>
      <c r="W15" s="168"/>
      <c r="X15" s="168"/>
      <c r="Y15" s="168">
        <v>0</v>
      </c>
      <c r="Z15" s="168">
        <v>0</v>
      </c>
      <c r="AA15" s="168">
        <v>143</v>
      </c>
      <c r="AB15" s="168">
        <v>132.28</v>
      </c>
      <c r="AC15" s="168"/>
      <c r="AD15" s="168"/>
      <c r="AE15" s="168">
        <v>143</v>
      </c>
      <c r="AF15" s="168">
        <v>132.28</v>
      </c>
      <c r="AG15" s="168"/>
      <c r="AH15" s="168"/>
      <c r="AI15" s="168"/>
      <c r="AJ15" s="168"/>
      <c r="AK15" s="168">
        <v>0</v>
      </c>
      <c r="AL15" s="168">
        <v>0</v>
      </c>
    </row>
    <row r="16" spans="1:38" ht="21">
      <c r="A16" s="346" t="s">
        <v>14</v>
      </c>
      <c r="B16" s="347"/>
      <c r="C16" s="167">
        <f aca="true" t="shared" si="1" ref="C16:T16">SUM(C8:C15)</f>
        <v>0</v>
      </c>
      <c r="D16" s="167">
        <f t="shared" si="1"/>
        <v>0</v>
      </c>
      <c r="E16" s="167">
        <f t="shared" si="1"/>
        <v>0</v>
      </c>
      <c r="F16" s="167">
        <f t="shared" si="1"/>
        <v>0</v>
      </c>
      <c r="G16" s="167">
        <f t="shared" si="1"/>
        <v>0</v>
      </c>
      <c r="H16" s="167">
        <f t="shared" si="1"/>
        <v>0</v>
      </c>
      <c r="I16" s="167">
        <f t="shared" si="1"/>
        <v>563</v>
      </c>
      <c r="J16" s="167">
        <f t="shared" si="1"/>
        <v>534.53</v>
      </c>
      <c r="K16" s="167">
        <f t="shared" si="1"/>
        <v>0</v>
      </c>
      <c r="L16" s="167">
        <f t="shared" si="1"/>
        <v>0</v>
      </c>
      <c r="M16" s="167">
        <f t="shared" si="1"/>
        <v>563</v>
      </c>
      <c r="N16" s="167">
        <f t="shared" si="1"/>
        <v>534.53</v>
      </c>
      <c r="O16" s="167">
        <f t="shared" si="1"/>
        <v>0</v>
      </c>
      <c r="P16" s="167">
        <f t="shared" si="1"/>
        <v>0</v>
      </c>
      <c r="Q16" s="167">
        <f t="shared" si="1"/>
        <v>0</v>
      </c>
      <c r="R16" s="167">
        <f t="shared" si="1"/>
        <v>0</v>
      </c>
      <c r="S16" s="167">
        <f t="shared" si="1"/>
        <v>0</v>
      </c>
      <c r="T16" s="167">
        <f t="shared" si="1"/>
        <v>0</v>
      </c>
      <c r="U16" s="168">
        <f>+U8+U9+U10+U11+U12+U13+U14+U15</f>
        <v>0</v>
      </c>
      <c r="V16" s="168">
        <f aca="true" t="shared" si="2" ref="V16:AL16">+V8+V9+V10+V11+V12+V13+V14+V15</f>
        <v>0</v>
      </c>
      <c r="W16" s="168">
        <f t="shared" si="2"/>
        <v>0</v>
      </c>
      <c r="X16" s="168">
        <f t="shared" si="2"/>
        <v>0</v>
      </c>
      <c r="Y16" s="168">
        <f t="shared" si="2"/>
        <v>0</v>
      </c>
      <c r="Z16" s="168">
        <f t="shared" si="2"/>
        <v>0</v>
      </c>
      <c r="AA16" s="168">
        <f t="shared" si="2"/>
        <v>577</v>
      </c>
      <c r="AB16" s="168">
        <f t="shared" si="2"/>
        <v>535.56</v>
      </c>
      <c r="AC16" s="168">
        <f t="shared" si="2"/>
        <v>0</v>
      </c>
      <c r="AD16" s="168">
        <f t="shared" si="2"/>
        <v>0</v>
      </c>
      <c r="AE16" s="168">
        <f t="shared" si="2"/>
        <v>577</v>
      </c>
      <c r="AF16" s="168">
        <f t="shared" si="2"/>
        <v>535.56</v>
      </c>
      <c r="AG16" s="168">
        <f t="shared" si="2"/>
        <v>0</v>
      </c>
      <c r="AH16" s="168">
        <f t="shared" si="2"/>
        <v>0</v>
      </c>
      <c r="AI16" s="168">
        <f t="shared" si="2"/>
        <v>0</v>
      </c>
      <c r="AJ16" s="168">
        <f t="shared" si="2"/>
        <v>0</v>
      </c>
      <c r="AK16" s="168">
        <f t="shared" si="2"/>
        <v>0</v>
      </c>
      <c r="AL16" s="168">
        <f t="shared" si="2"/>
        <v>0</v>
      </c>
    </row>
    <row r="17" spans="1:38" ht="21">
      <c r="A17" s="337" t="s">
        <v>328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9"/>
    </row>
    <row r="18" spans="1:38" ht="21">
      <c r="A18" s="337" t="s">
        <v>348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9"/>
    </row>
    <row r="19" spans="1:38" ht="21">
      <c r="A19" s="340" t="s">
        <v>330</v>
      </c>
      <c r="B19" s="340" t="s">
        <v>331</v>
      </c>
      <c r="C19" s="343" t="s">
        <v>332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5"/>
      <c r="U19" s="343" t="s">
        <v>333</v>
      </c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5"/>
    </row>
    <row r="20" spans="1:38" ht="21">
      <c r="A20" s="341"/>
      <c r="B20" s="341"/>
      <c r="C20" s="343" t="s">
        <v>195</v>
      </c>
      <c r="D20" s="344"/>
      <c r="E20" s="344"/>
      <c r="F20" s="344"/>
      <c r="G20" s="344"/>
      <c r="H20" s="345"/>
      <c r="I20" s="343" t="s">
        <v>334</v>
      </c>
      <c r="J20" s="344"/>
      <c r="K20" s="344"/>
      <c r="L20" s="344"/>
      <c r="M20" s="344"/>
      <c r="N20" s="345"/>
      <c r="O20" s="343" t="s">
        <v>335</v>
      </c>
      <c r="P20" s="344"/>
      <c r="Q20" s="344"/>
      <c r="R20" s="344"/>
      <c r="S20" s="344"/>
      <c r="T20" s="345"/>
      <c r="U20" s="343" t="s">
        <v>195</v>
      </c>
      <c r="V20" s="344"/>
      <c r="W20" s="344"/>
      <c r="X20" s="344"/>
      <c r="Y20" s="344"/>
      <c r="Z20" s="345"/>
      <c r="AA20" s="343" t="s">
        <v>334</v>
      </c>
      <c r="AB20" s="344"/>
      <c r="AC20" s="344"/>
      <c r="AD20" s="344"/>
      <c r="AE20" s="344"/>
      <c r="AF20" s="345"/>
      <c r="AG20" s="343" t="s">
        <v>335</v>
      </c>
      <c r="AH20" s="344"/>
      <c r="AI20" s="344"/>
      <c r="AJ20" s="344"/>
      <c r="AK20" s="344"/>
      <c r="AL20" s="345"/>
    </row>
    <row r="21" spans="1:38" ht="21">
      <c r="A21" s="341"/>
      <c r="B21" s="341"/>
      <c r="C21" s="343" t="s">
        <v>336</v>
      </c>
      <c r="D21" s="345"/>
      <c r="E21" s="343" t="s">
        <v>337</v>
      </c>
      <c r="F21" s="345"/>
      <c r="G21" s="343" t="s">
        <v>14</v>
      </c>
      <c r="H21" s="345"/>
      <c r="I21" s="343" t="s">
        <v>336</v>
      </c>
      <c r="J21" s="345"/>
      <c r="K21" s="343" t="s">
        <v>337</v>
      </c>
      <c r="L21" s="345"/>
      <c r="M21" s="343" t="s">
        <v>14</v>
      </c>
      <c r="N21" s="345"/>
      <c r="O21" s="343" t="s">
        <v>336</v>
      </c>
      <c r="P21" s="345"/>
      <c r="Q21" s="343" t="s">
        <v>337</v>
      </c>
      <c r="R21" s="345"/>
      <c r="S21" s="343" t="s">
        <v>14</v>
      </c>
      <c r="T21" s="345"/>
      <c r="U21" s="343" t="s">
        <v>336</v>
      </c>
      <c r="V21" s="345"/>
      <c r="W21" s="343" t="s">
        <v>337</v>
      </c>
      <c r="X21" s="345"/>
      <c r="Y21" s="343" t="s">
        <v>14</v>
      </c>
      <c r="Z21" s="345"/>
      <c r="AA21" s="343" t="s">
        <v>336</v>
      </c>
      <c r="AB21" s="345"/>
      <c r="AC21" s="343" t="s">
        <v>337</v>
      </c>
      <c r="AD21" s="345"/>
      <c r="AE21" s="343" t="s">
        <v>14</v>
      </c>
      <c r="AF21" s="345"/>
      <c r="AG21" s="343" t="s">
        <v>336</v>
      </c>
      <c r="AH21" s="345"/>
      <c r="AI21" s="343" t="s">
        <v>337</v>
      </c>
      <c r="AJ21" s="345"/>
      <c r="AK21" s="343" t="s">
        <v>14</v>
      </c>
      <c r="AL21" s="345"/>
    </row>
    <row r="22" spans="1:38" ht="63">
      <c r="A22" s="342"/>
      <c r="B22" s="342"/>
      <c r="C22" s="167" t="s">
        <v>338</v>
      </c>
      <c r="D22" s="167" t="s">
        <v>339</v>
      </c>
      <c r="E22" s="167" t="s">
        <v>338</v>
      </c>
      <c r="F22" s="167" t="s">
        <v>339</v>
      </c>
      <c r="G22" s="167" t="s">
        <v>338</v>
      </c>
      <c r="H22" s="167" t="s">
        <v>339</v>
      </c>
      <c r="I22" s="167" t="s">
        <v>338</v>
      </c>
      <c r="J22" s="167" t="s">
        <v>339</v>
      </c>
      <c r="K22" s="167" t="s">
        <v>338</v>
      </c>
      <c r="L22" s="167" t="s">
        <v>339</v>
      </c>
      <c r="M22" s="167" t="s">
        <v>338</v>
      </c>
      <c r="N22" s="167" t="s">
        <v>339</v>
      </c>
      <c r="O22" s="167" t="s">
        <v>338</v>
      </c>
      <c r="P22" s="167" t="s">
        <v>339</v>
      </c>
      <c r="Q22" s="167" t="s">
        <v>338</v>
      </c>
      <c r="R22" s="167" t="s">
        <v>339</v>
      </c>
      <c r="S22" s="167" t="s">
        <v>338</v>
      </c>
      <c r="T22" s="167" t="s">
        <v>339</v>
      </c>
      <c r="U22" s="168" t="s">
        <v>338</v>
      </c>
      <c r="V22" s="168" t="s">
        <v>339</v>
      </c>
      <c r="W22" s="168" t="s">
        <v>338</v>
      </c>
      <c r="X22" s="168" t="s">
        <v>339</v>
      </c>
      <c r="Y22" s="168" t="s">
        <v>338</v>
      </c>
      <c r="Z22" s="168" t="s">
        <v>339</v>
      </c>
      <c r="AA22" s="168" t="s">
        <v>338</v>
      </c>
      <c r="AB22" s="168" t="s">
        <v>339</v>
      </c>
      <c r="AC22" s="168" t="s">
        <v>338</v>
      </c>
      <c r="AD22" s="168" t="s">
        <v>339</v>
      </c>
      <c r="AE22" s="168" t="s">
        <v>338</v>
      </c>
      <c r="AF22" s="168" t="s">
        <v>339</v>
      </c>
      <c r="AG22" s="168" t="s">
        <v>338</v>
      </c>
      <c r="AH22" s="168" t="s">
        <v>339</v>
      </c>
      <c r="AI22" s="168" t="s">
        <v>338</v>
      </c>
      <c r="AJ22" s="168" t="s">
        <v>339</v>
      </c>
      <c r="AK22" s="168" t="s">
        <v>338</v>
      </c>
      <c r="AL22" s="168" t="s">
        <v>339</v>
      </c>
    </row>
    <row r="23" spans="1:38" ht="21">
      <c r="A23" s="165">
        <v>1</v>
      </c>
      <c r="B23" s="166" t="s">
        <v>349</v>
      </c>
      <c r="C23" s="167"/>
      <c r="D23" s="167"/>
      <c r="E23" s="167"/>
      <c r="F23" s="167"/>
      <c r="G23" s="167">
        <v>0</v>
      </c>
      <c r="H23" s="167">
        <v>0</v>
      </c>
      <c r="I23" s="167"/>
      <c r="J23" s="167"/>
      <c r="K23" s="167"/>
      <c r="L23" s="167"/>
      <c r="M23" s="167">
        <v>0</v>
      </c>
      <c r="N23" s="167">
        <v>0</v>
      </c>
      <c r="O23" s="167">
        <v>2</v>
      </c>
      <c r="P23" s="167">
        <v>1</v>
      </c>
      <c r="Q23" s="167"/>
      <c r="R23" s="167"/>
      <c r="S23" s="167">
        <v>2</v>
      </c>
      <c r="T23" s="167">
        <v>1</v>
      </c>
      <c r="U23" s="168">
        <f aca="true" t="shared" si="3" ref="U23:U34">SUM(S23:T23)</f>
        <v>3</v>
      </c>
      <c r="V23" s="168"/>
      <c r="W23" s="168"/>
      <c r="X23" s="168"/>
      <c r="Y23" s="168">
        <v>0</v>
      </c>
      <c r="Z23" s="168">
        <v>0</v>
      </c>
      <c r="AA23" s="168"/>
      <c r="AB23" s="168"/>
      <c r="AC23" s="168"/>
      <c r="AD23" s="168"/>
      <c r="AE23" s="168">
        <v>0</v>
      </c>
      <c r="AF23" s="168">
        <v>0</v>
      </c>
      <c r="AG23" s="168">
        <v>6</v>
      </c>
      <c r="AH23" s="168">
        <v>1.67</v>
      </c>
      <c r="AI23" s="168"/>
      <c r="AJ23" s="168"/>
      <c r="AK23" s="168">
        <v>6</v>
      </c>
      <c r="AL23" s="168">
        <v>1.67</v>
      </c>
    </row>
    <row r="24" spans="1:38" ht="21">
      <c r="A24" s="165">
        <v>2</v>
      </c>
      <c r="B24" s="166" t="s">
        <v>350</v>
      </c>
      <c r="C24" s="167"/>
      <c r="D24" s="167"/>
      <c r="E24" s="167"/>
      <c r="F24" s="167"/>
      <c r="G24" s="167">
        <v>0</v>
      </c>
      <c r="H24" s="167">
        <v>0</v>
      </c>
      <c r="I24" s="167">
        <v>6</v>
      </c>
      <c r="J24" s="167">
        <v>6.5</v>
      </c>
      <c r="K24" s="167"/>
      <c r="L24" s="167"/>
      <c r="M24" s="167">
        <v>6</v>
      </c>
      <c r="N24" s="167">
        <v>6.5</v>
      </c>
      <c r="O24" s="167"/>
      <c r="P24" s="167"/>
      <c r="Q24" s="167"/>
      <c r="R24" s="167"/>
      <c r="S24" s="167">
        <v>0</v>
      </c>
      <c r="T24" s="167">
        <v>0</v>
      </c>
      <c r="U24" s="168">
        <f t="shared" si="3"/>
        <v>0</v>
      </c>
      <c r="V24" s="168"/>
      <c r="W24" s="168"/>
      <c r="X24" s="168"/>
      <c r="Y24" s="168">
        <v>0</v>
      </c>
      <c r="Z24" s="168">
        <v>0</v>
      </c>
      <c r="AA24" s="168">
        <v>6</v>
      </c>
      <c r="AB24" s="168">
        <v>3.33</v>
      </c>
      <c r="AC24" s="168"/>
      <c r="AD24" s="168"/>
      <c r="AE24" s="168">
        <v>6</v>
      </c>
      <c r="AF24" s="168">
        <v>3.33</v>
      </c>
      <c r="AG24" s="168"/>
      <c r="AH24" s="168"/>
      <c r="AI24" s="168"/>
      <c r="AJ24" s="168"/>
      <c r="AK24" s="168">
        <v>0</v>
      </c>
      <c r="AL24" s="168">
        <v>0</v>
      </c>
    </row>
    <row r="25" spans="1:38" ht="21">
      <c r="A25" s="165">
        <v>3</v>
      </c>
      <c r="B25" s="166" t="s">
        <v>351</v>
      </c>
      <c r="C25" s="167"/>
      <c r="D25" s="167"/>
      <c r="E25" s="167"/>
      <c r="F25" s="167"/>
      <c r="G25" s="167">
        <v>0</v>
      </c>
      <c r="H25" s="167">
        <v>0</v>
      </c>
      <c r="I25" s="167">
        <v>69</v>
      </c>
      <c r="J25" s="167">
        <v>61.33</v>
      </c>
      <c r="K25" s="167"/>
      <c r="L25" s="167"/>
      <c r="M25" s="167">
        <v>69</v>
      </c>
      <c r="N25" s="167">
        <v>61.33</v>
      </c>
      <c r="O25" s="167"/>
      <c r="P25" s="167"/>
      <c r="Q25" s="167"/>
      <c r="R25" s="167"/>
      <c r="S25" s="167">
        <v>0</v>
      </c>
      <c r="T25" s="167">
        <v>0</v>
      </c>
      <c r="U25" s="168">
        <f t="shared" si="3"/>
        <v>0</v>
      </c>
      <c r="V25" s="168"/>
      <c r="W25" s="168"/>
      <c r="X25" s="168"/>
      <c r="Y25" s="168">
        <v>0</v>
      </c>
      <c r="Z25" s="168">
        <v>0</v>
      </c>
      <c r="AA25" s="168">
        <v>73</v>
      </c>
      <c r="AB25" s="168">
        <v>70.17</v>
      </c>
      <c r="AC25" s="168"/>
      <c r="AD25" s="168"/>
      <c r="AE25" s="168">
        <v>73</v>
      </c>
      <c r="AF25" s="168">
        <v>70.17</v>
      </c>
      <c r="AG25" s="168"/>
      <c r="AH25" s="168"/>
      <c r="AI25" s="168"/>
      <c r="AJ25" s="168"/>
      <c r="AK25" s="168">
        <v>0</v>
      </c>
      <c r="AL25" s="168">
        <v>0</v>
      </c>
    </row>
    <row r="26" spans="1:38" ht="21">
      <c r="A26" s="165">
        <v>4</v>
      </c>
      <c r="B26" s="166" t="s">
        <v>352</v>
      </c>
      <c r="C26" s="167"/>
      <c r="D26" s="167"/>
      <c r="E26" s="167"/>
      <c r="F26" s="167"/>
      <c r="G26" s="167">
        <v>0</v>
      </c>
      <c r="H26" s="167">
        <v>0</v>
      </c>
      <c r="I26" s="167">
        <v>73</v>
      </c>
      <c r="J26" s="167">
        <v>55.31</v>
      </c>
      <c r="K26" s="167"/>
      <c r="L26" s="167"/>
      <c r="M26" s="167">
        <v>73</v>
      </c>
      <c r="N26" s="167">
        <v>55.31</v>
      </c>
      <c r="O26" s="167"/>
      <c r="P26" s="167"/>
      <c r="Q26" s="167"/>
      <c r="R26" s="167"/>
      <c r="S26" s="167">
        <v>0</v>
      </c>
      <c r="T26" s="167">
        <v>0</v>
      </c>
      <c r="U26" s="168">
        <f t="shared" si="3"/>
        <v>0</v>
      </c>
      <c r="V26" s="168"/>
      <c r="W26" s="168"/>
      <c r="X26" s="168"/>
      <c r="Y26" s="168">
        <v>0</v>
      </c>
      <c r="Z26" s="168">
        <v>0</v>
      </c>
      <c r="AA26" s="168">
        <v>74</v>
      </c>
      <c r="AB26" s="168">
        <v>61.33</v>
      </c>
      <c r="AC26" s="168"/>
      <c r="AD26" s="168"/>
      <c r="AE26" s="168">
        <v>74</v>
      </c>
      <c r="AF26" s="168">
        <v>61.33</v>
      </c>
      <c r="AG26" s="168"/>
      <c r="AH26" s="168"/>
      <c r="AI26" s="168"/>
      <c r="AJ26" s="168"/>
      <c r="AK26" s="168">
        <v>0</v>
      </c>
      <c r="AL26" s="168">
        <v>0</v>
      </c>
    </row>
    <row r="27" spans="1:38" ht="21">
      <c r="A27" s="165">
        <v>5</v>
      </c>
      <c r="B27" s="166" t="s">
        <v>353</v>
      </c>
      <c r="C27" s="167"/>
      <c r="D27" s="167"/>
      <c r="E27" s="167"/>
      <c r="F27" s="167"/>
      <c r="G27" s="167">
        <v>0</v>
      </c>
      <c r="H27" s="167">
        <v>0</v>
      </c>
      <c r="I27" s="167">
        <v>165</v>
      </c>
      <c r="J27" s="167">
        <v>158.72</v>
      </c>
      <c r="K27" s="167"/>
      <c r="L27" s="167"/>
      <c r="M27" s="167">
        <v>165</v>
      </c>
      <c r="N27" s="167">
        <v>158.72</v>
      </c>
      <c r="O27" s="167"/>
      <c r="P27" s="167"/>
      <c r="Q27" s="167"/>
      <c r="R27" s="167"/>
      <c r="S27" s="167">
        <v>0</v>
      </c>
      <c r="T27" s="167">
        <v>0</v>
      </c>
      <c r="U27" s="168">
        <f t="shared" si="3"/>
        <v>0</v>
      </c>
      <c r="V27" s="168"/>
      <c r="W27" s="168"/>
      <c r="X27" s="168"/>
      <c r="Y27" s="168">
        <v>0</v>
      </c>
      <c r="Z27" s="168">
        <v>0</v>
      </c>
      <c r="AA27" s="168">
        <v>166</v>
      </c>
      <c r="AB27" s="168">
        <v>141.31</v>
      </c>
      <c r="AC27" s="168"/>
      <c r="AD27" s="168"/>
      <c r="AE27" s="168">
        <v>166</v>
      </c>
      <c r="AF27" s="168">
        <v>141.31</v>
      </c>
      <c r="AG27" s="168"/>
      <c r="AH27" s="168"/>
      <c r="AI27" s="168"/>
      <c r="AJ27" s="168"/>
      <c r="AK27" s="168">
        <v>0</v>
      </c>
      <c r="AL27" s="168">
        <v>0</v>
      </c>
    </row>
    <row r="28" spans="1:38" ht="21">
      <c r="A28" s="165">
        <v>6</v>
      </c>
      <c r="B28" s="166" t="s">
        <v>354</v>
      </c>
      <c r="C28" s="167"/>
      <c r="D28" s="167"/>
      <c r="E28" s="167"/>
      <c r="F28" s="167"/>
      <c r="G28" s="167">
        <v>0</v>
      </c>
      <c r="H28" s="167">
        <v>0</v>
      </c>
      <c r="I28" s="167">
        <v>5</v>
      </c>
      <c r="J28" s="167">
        <v>5.72</v>
      </c>
      <c r="K28" s="167"/>
      <c r="L28" s="167"/>
      <c r="M28" s="167">
        <v>5</v>
      </c>
      <c r="N28" s="167">
        <v>5.72</v>
      </c>
      <c r="O28" s="167"/>
      <c r="P28" s="167"/>
      <c r="Q28" s="167"/>
      <c r="R28" s="167"/>
      <c r="S28" s="167">
        <v>0</v>
      </c>
      <c r="T28" s="167">
        <v>0</v>
      </c>
      <c r="U28" s="168">
        <f t="shared" si="3"/>
        <v>0</v>
      </c>
      <c r="V28" s="168"/>
      <c r="W28" s="168"/>
      <c r="X28" s="168"/>
      <c r="Y28" s="168">
        <v>0</v>
      </c>
      <c r="Z28" s="168">
        <v>0</v>
      </c>
      <c r="AA28" s="168">
        <v>5</v>
      </c>
      <c r="AB28" s="168">
        <v>2.64</v>
      </c>
      <c r="AC28" s="168"/>
      <c r="AD28" s="168"/>
      <c r="AE28" s="168">
        <v>5</v>
      </c>
      <c r="AF28" s="168">
        <v>2.64</v>
      </c>
      <c r="AG28" s="168"/>
      <c r="AH28" s="168"/>
      <c r="AI28" s="168"/>
      <c r="AJ28" s="168"/>
      <c r="AK28" s="168">
        <v>0</v>
      </c>
      <c r="AL28" s="168">
        <v>0</v>
      </c>
    </row>
    <row r="29" spans="1:38" ht="21">
      <c r="A29" s="165">
        <v>7</v>
      </c>
      <c r="B29" s="166" t="s">
        <v>355</v>
      </c>
      <c r="C29" s="167"/>
      <c r="D29" s="167"/>
      <c r="E29" s="167"/>
      <c r="F29" s="167"/>
      <c r="G29" s="167">
        <v>0</v>
      </c>
      <c r="H29" s="167">
        <v>0</v>
      </c>
      <c r="I29" s="167">
        <v>112</v>
      </c>
      <c r="J29" s="167">
        <v>107.56</v>
      </c>
      <c r="K29" s="167"/>
      <c r="L29" s="167"/>
      <c r="M29" s="167">
        <v>112</v>
      </c>
      <c r="N29" s="167">
        <v>107.56</v>
      </c>
      <c r="O29" s="167"/>
      <c r="P29" s="167"/>
      <c r="Q29" s="167"/>
      <c r="R29" s="167"/>
      <c r="S29" s="167">
        <v>0</v>
      </c>
      <c r="T29" s="167">
        <v>0</v>
      </c>
      <c r="U29" s="168">
        <f t="shared" si="3"/>
        <v>0</v>
      </c>
      <c r="V29" s="168"/>
      <c r="W29" s="168"/>
      <c r="X29" s="168"/>
      <c r="Y29" s="168">
        <v>0</v>
      </c>
      <c r="Z29" s="168">
        <v>0</v>
      </c>
      <c r="AA29" s="168">
        <v>114</v>
      </c>
      <c r="AB29" s="168">
        <v>89.11</v>
      </c>
      <c r="AC29" s="168"/>
      <c r="AD29" s="168"/>
      <c r="AE29" s="168">
        <v>114</v>
      </c>
      <c r="AF29" s="168">
        <v>89.11</v>
      </c>
      <c r="AG29" s="168"/>
      <c r="AH29" s="168"/>
      <c r="AI29" s="168"/>
      <c r="AJ29" s="168"/>
      <c r="AK29" s="168">
        <v>0</v>
      </c>
      <c r="AL29" s="168">
        <v>0</v>
      </c>
    </row>
    <row r="30" spans="1:38" ht="21">
      <c r="A30" s="165">
        <v>8</v>
      </c>
      <c r="B30" s="166" t="s">
        <v>356</v>
      </c>
      <c r="C30" s="167"/>
      <c r="D30" s="167"/>
      <c r="E30" s="167"/>
      <c r="F30" s="167"/>
      <c r="G30" s="167">
        <v>0</v>
      </c>
      <c r="H30" s="167">
        <v>0</v>
      </c>
      <c r="I30" s="167">
        <v>21</v>
      </c>
      <c r="J30" s="167">
        <v>22.33</v>
      </c>
      <c r="K30" s="167"/>
      <c r="L30" s="167"/>
      <c r="M30" s="167">
        <v>21</v>
      </c>
      <c r="N30" s="167">
        <v>22.33</v>
      </c>
      <c r="O30" s="167"/>
      <c r="P30" s="167"/>
      <c r="Q30" s="167"/>
      <c r="R30" s="167"/>
      <c r="S30" s="167">
        <v>0</v>
      </c>
      <c r="T30" s="167">
        <v>0</v>
      </c>
      <c r="U30" s="168">
        <f t="shared" si="3"/>
        <v>0</v>
      </c>
      <c r="V30" s="168"/>
      <c r="W30" s="168"/>
      <c r="X30" s="168"/>
      <c r="Y30" s="168">
        <v>0</v>
      </c>
      <c r="Z30" s="168">
        <v>0</v>
      </c>
      <c r="AA30" s="168">
        <v>21</v>
      </c>
      <c r="AB30" s="168">
        <v>11.83</v>
      </c>
      <c r="AC30" s="168"/>
      <c r="AD30" s="168"/>
      <c r="AE30" s="168">
        <v>21</v>
      </c>
      <c r="AF30" s="168">
        <v>11.83</v>
      </c>
      <c r="AG30" s="168"/>
      <c r="AH30" s="168"/>
      <c r="AI30" s="168"/>
      <c r="AJ30" s="168"/>
      <c r="AK30" s="168">
        <v>0</v>
      </c>
      <c r="AL30" s="168">
        <v>0</v>
      </c>
    </row>
    <row r="31" spans="1:38" ht="21">
      <c r="A31" s="165">
        <v>9</v>
      </c>
      <c r="B31" s="166" t="s">
        <v>357</v>
      </c>
      <c r="C31" s="167"/>
      <c r="D31" s="167"/>
      <c r="E31" s="167"/>
      <c r="F31" s="167"/>
      <c r="G31" s="167">
        <v>0</v>
      </c>
      <c r="H31" s="167">
        <v>0</v>
      </c>
      <c r="I31" s="167"/>
      <c r="J31" s="167"/>
      <c r="K31" s="167"/>
      <c r="L31" s="167"/>
      <c r="M31" s="167">
        <v>0</v>
      </c>
      <c r="N31" s="167">
        <v>0</v>
      </c>
      <c r="O31" s="167">
        <v>1</v>
      </c>
      <c r="P31" s="167">
        <v>0.56</v>
      </c>
      <c r="Q31" s="167"/>
      <c r="R31" s="167"/>
      <c r="S31" s="167">
        <v>1</v>
      </c>
      <c r="T31" s="167">
        <v>0.56</v>
      </c>
      <c r="U31" s="168">
        <f t="shared" si="3"/>
        <v>1.56</v>
      </c>
      <c r="V31" s="168"/>
      <c r="W31" s="168"/>
      <c r="X31" s="168"/>
      <c r="Y31" s="168">
        <v>0</v>
      </c>
      <c r="Z31" s="168">
        <v>0</v>
      </c>
      <c r="AA31" s="168"/>
      <c r="AB31" s="168"/>
      <c r="AC31" s="168"/>
      <c r="AD31" s="168"/>
      <c r="AE31" s="168">
        <v>0</v>
      </c>
      <c r="AF31" s="168">
        <v>0</v>
      </c>
      <c r="AG31" s="168">
        <v>1</v>
      </c>
      <c r="AH31" s="168">
        <v>0.89</v>
      </c>
      <c r="AI31" s="168"/>
      <c r="AJ31" s="168"/>
      <c r="AK31" s="168">
        <v>1</v>
      </c>
      <c r="AL31" s="168">
        <v>0.89</v>
      </c>
    </row>
    <row r="32" spans="1:38" ht="21">
      <c r="A32" s="165">
        <v>10</v>
      </c>
      <c r="B32" s="166" t="s">
        <v>358</v>
      </c>
      <c r="C32" s="167"/>
      <c r="D32" s="167"/>
      <c r="E32" s="167"/>
      <c r="F32" s="167"/>
      <c r="G32" s="167">
        <v>0</v>
      </c>
      <c r="H32" s="167">
        <v>0</v>
      </c>
      <c r="I32" s="167">
        <v>23</v>
      </c>
      <c r="J32" s="167">
        <v>18.39</v>
      </c>
      <c r="K32" s="167"/>
      <c r="L32" s="167"/>
      <c r="M32" s="167">
        <v>23</v>
      </c>
      <c r="N32" s="167">
        <v>18.39</v>
      </c>
      <c r="O32" s="167"/>
      <c r="P32" s="167"/>
      <c r="Q32" s="167"/>
      <c r="R32" s="167"/>
      <c r="S32" s="167">
        <v>0</v>
      </c>
      <c r="T32" s="167">
        <v>0</v>
      </c>
      <c r="U32" s="168">
        <f t="shared" si="3"/>
        <v>0</v>
      </c>
      <c r="V32" s="168"/>
      <c r="W32" s="168"/>
      <c r="X32" s="168"/>
      <c r="Y32" s="168">
        <v>0</v>
      </c>
      <c r="Z32" s="168">
        <v>0</v>
      </c>
      <c r="AA32" s="168">
        <v>25</v>
      </c>
      <c r="AB32" s="168">
        <v>21.22</v>
      </c>
      <c r="AC32" s="168"/>
      <c r="AD32" s="168"/>
      <c r="AE32" s="168">
        <v>25</v>
      </c>
      <c r="AF32" s="168">
        <v>21.22</v>
      </c>
      <c r="AG32" s="168"/>
      <c r="AH32" s="168"/>
      <c r="AI32" s="168"/>
      <c r="AJ32" s="168"/>
      <c r="AK32" s="168">
        <v>0</v>
      </c>
      <c r="AL32" s="168">
        <v>0</v>
      </c>
    </row>
    <row r="33" spans="1:38" ht="21">
      <c r="A33" s="165">
        <v>11</v>
      </c>
      <c r="B33" s="166" t="s">
        <v>359</v>
      </c>
      <c r="C33" s="167"/>
      <c r="D33" s="167"/>
      <c r="E33" s="167"/>
      <c r="F33" s="167"/>
      <c r="G33" s="167">
        <v>0</v>
      </c>
      <c r="H33" s="167">
        <v>0</v>
      </c>
      <c r="I33" s="167">
        <v>65</v>
      </c>
      <c r="J33" s="167">
        <v>49.83</v>
      </c>
      <c r="K33" s="167"/>
      <c r="L33" s="167"/>
      <c r="M33" s="167">
        <v>65</v>
      </c>
      <c r="N33" s="167">
        <v>49.83</v>
      </c>
      <c r="O33" s="167"/>
      <c r="P33" s="167"/>
      <c r="Q33" s="167"/>
      <c r="R33" s="167"/>
      <c r="S33" s="167">
        <v>0</v>
      </c>
      <c r="T33" s="167">
        <v>0</v>
      </c>
      <c r="U33" s="168">
        <f t="shared" si="3"/>
        <v>0</v>
      </c>
      <c r="V33" s="168"/>
      <c r="W33" s="168"/>
      <c r="X33" s="168"/>
      <c r="Y33" s="168">
        <v>0</v>
      </c>
      <c r="Z33" s="168">
        <v>0</v>
      </c>
      <c r="AA33" s="168">
        <v>66</v>
      </c>
      <c r="AB33" s="168">
        <v>60.36</v>
      </c>
      <c r="AC33" s="168"/>
      <c r="AD33" s="168"/>
      <c r="AE33" s="168">
        <v>66</v>
      </c>
      <c r="AF33" s="168">
        <v>60.36</v>
      </c>
      <c r="AG33" s="168"/>
      <c r="AH33" s="168"/>
      <c r="AI33" s="168"/>
      <c r="AJ33" s="168"/>
      <c r="AK33" s="168">
        <v>0</v>
      </c>
      <c r="AL33" s="168">
        <v>0</v>
      </c>
    </row>
    <row r="34" spans="1:38" ht="21">
      <c r="A34" s="165">
        <v>12</v>
      </c>
      <c r="B34" s="166" t="s">
        <v>360</v>
      </c>
      <c r="C34" s="167"/>
      <c r="D34" s="167"/>
      <c r="E34" s="167"/>
      <c r="F34" s="167"/>
      <c r="G34" s="167">
        <v>0</v>
      </c>
      <c r="H34" s="167">
        <v>0</v>
      </c>
      <c r="I34" s="167">
        <v>27</v>
      </c>
      <c r="J34" s="167">
        <v>30.31</v>
      </c>
      <c r="K34" s="167"/>
      <c r="L34" s="167"/>
      <c r="M34" s="167">
        <v>27</v>
      </c>
      <c r="N34" s="167">
        <v>30.31</v>
      </c>
      <c r="O34" s="167"/>
      <c r="P34" s="167"/>
      <c r="Q34" s="167"/>
      <c r="R34" s="167"/>
      <c r="S34" s="167">
        <v>0</v>
      </c>
      <c r="T34" s="167">
        <v>0</v>
      </c>
      <c r="U34" s="168">
        <f t="shared" si="3"/>
        <v>0</v>
      </c>
      <c r="V34" s="168"/>
      <c r="W34" s="168"/>
      <c r="X34" s="168"/>
      <c r="Y34" s="168">
        <v>0</v>
      </c>
      <c r="Z34" s="168">
        <v>0</v>
      </c>
      <c r="AA34" s="168">
        <v>27</v>
      </c>
      <c r="AB34" s="168">
        <v>15.78</v>
      </c>
      <c r="AC34" s="168"/>
      <c r="AD34" s="168"/>
      <c r="AE34" s="168">
        <v>27</v>
      </c>
      <c r="AF34" s="168">
        <v>15.78</v>
      </c>
      <c r="AG34" s="168"/>
      <c r="AH34" s="168"/>
      <c r="AI34" s="168"/>
      <c r="AJ34" s="168"/>
      <c r="AK34" s="168">
        <v>0</v>
      </c>
      <c r="AL34" s="168">
        <v>0</v>
      </c>
    </row>
    <row r="35" spans="1:38" ht="21">
      <c r="A35" s="346" t="s">
        <v>14</v>
      </c>
      <c r="B35" s="347"/>
      <c r="C35" s="167">
        <f aca="true" t="shared" si="4" ref="C35:T35">SUM(C23:C34)</f>
        <v>0</v>
      </c>
      <c r="D35" s="167">
        <f t="shared" si="4"/>
        <v>0</v>
      </c>
      <c r="E35" s="167">
        <f t="shared" si="4"/>
        <v>0</v>
      </c>
      <c r="F35" s="167">
        <f t="shared" si="4"/>
        <v>0</v>
      </c>
      <c r="G35" s="167">
        <f t="shared" si="4"/>
        <v>0</v>
      </c>
      <c r="H35" s="167">
        <f t="shared" si="4"/>
        <v>0</v>
      </c>
      <c r="I35" s="167">
        <f t="shared" si="4"/>
        <v>566</v>
      </c>
      <c r="J35" s="167">
        <f t="shared" si="4"/>
        <v>516</v>
      </c>
      <c r="K35" s="167">
        <f t="shared" si="4"/>
        <v>0</v>
      </c>
      <c r="L35" s="167">
        <f t="shared" si="4"/>
        <v>0</v>
      </c>
      <c r="M35" s="167">
        <f t="shared" si="4"/>
        <v>566</v>
      </c>
      <c r="N35" s="167">
        <f t="shared" si="4"/>
        <v>516</v>
      </c>
      <c r="O35" s="167">
        <f t="shared" si="4"/>
        <v>3</v>
      </c>
      <c r="P35" s="167">
        <f t="shared" si="4"/>
        <v>1.56</v>
      </c>
      <c r="Q35" s="167">
        <f t="shared" si="4"/>
        <v>0</v>
      </c>
      <c r="R35" s="167">
        <f t="shared" si="4"/>
        <v>0</v>
      </c>
      <c r="S35" s="167">
        <f t="shared" si="4"/>
        <v>3</v>
      </c>
      <c r="T35" s="167">
        <f t="shared" si="4"/>
        <v>1.56</v>
      </c>
      <c r="U35" s="168">
        <f>+U23+U24+U25+U26+U27+U28+U29+U30+U31+U32+U33+U34</f>
        <v>4.5600000000000005</v>
      </c>
      <c r="V35" s="168">
        <f aca="true" t="shared" si="5" ref="V35:AL35">+V23+V24+V25+V26+V27+V28+V29+V30+V31+V32+V33+V34</f>
        <v>0</v>
      </c>
      <c r="W35" s="168">
        <f t="shared" si="5"/>
        <v>0</v>
      </c>
      <c r="X35" s="168">
        <f t="shared" si="5"/>
        <v>0</v>
      </c>
      <c r="Y35" s="168">
        <f t="shared" si="5"/>
        <v>0</v>
      </c>
      <c r="Z35" s="168">
        <f t="shared" si="5"/>
        <v>0</v>
      </c>
      <c r="AA35" s="168">
        <f t="shared" si="5"/>
        <v>577</v>
      </c>
      <c r="AB35" s="168">
        <f t="shared" si="5"/>
        <v>477.0799999999999</v>
      </c>
      <c r="AC35" s="168">
        <f t="shared" si="5"/>
        <v>0</v>
      </c>
      <c r="AD35" s="168">
        <f t="shared" si="5"/>
        <v>0</v>
      </c>
      <c r="AE35" s="168">
        <f t="shared" si="5"/>
        <v>577</v>
      </c>
      <c r="AF35" s="168">
        <f t="shared" si="5"/>
        <v>477.0799999999999</v>
      </c>
      <c r="AG35" s="168">
        <f t="shared" si="5"/>
        <v>7</v>
      </c>
      <c r="AH35" s="168">
        <f t="shared" si="5"/>
        <v>2.56</v>
      </c>
      <c r="AI35" s="168">
        <f t="shared" si="5"/>
        <v>0</v>
      </c>
      <c r="AJ35" s="168">
        <f t="shared" si="5"/>
        <v>0</v>
      </c>
      <c r="AK35" s="168">
        <f t="shared" si="5"/>
        <v>7</v>
      </c>
      <c r="AL35" s="168">
        <f t="shared" si="5"/>
        <v>2.56</v>
      </c>
    </row>
    <row r="36" spans="1:38" ht="21">
      <c r="A36" s="337" t="s">
        <v>328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9"/>
    </row>
    <row r="37" spans="1:38" ht="21">
      <c r="A37" s="337" t="s">
        <v>361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9"/>
    </row>
    <row r="38" spans="1:38" ht="21">
      <c r="A38" s="340" t="s">
        <v>330</v>
      </c>
      <c r="B38" s="340" t="s">
        <v>331</v>
      </c>
      <c r="C38" s="343" t="s">
        <v>332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5"/>
      <c r="U38" s="343" t="s">
        <v>333</v>
      </c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5"/>
    </row>
    <row r="39" spans="1:38" ht="21">
      <c r="A39" s="341"/>
      <c r="B39" s="341"/>
      <c r="C39" s="343" t="s">
        <v>195</v>
      </c>
      <c r="D39" s="344"/>
      <c r="E39" s="344"/>
      <c r="F39" s="344"/>
      <c r="G39" s="344"/>
      <c r="H39" s="345"/>
      <c r="I39" s="343" t="s">
        <v>334</v>
      </c>
      <c r="J39" s="344"/>
      <c r="K39" s="344"/>
      <c r="L39" s="344"/>
      <c r="M39" s="344"/>
      <c r="N39" s="345"/>
      <c r="O39" s="343" t="s">
        <v>335</v>
      </c>
      <c r="P39" s="344"/>
      <c r="Q39" s="344"/>
      <c r="R39" s="344"/>
      <c r="S39" s="344"/>
      <c r="T39" s="345"/>
      <c r="U39" s="343" t="s">
        <v>195</v>
      </c>
      <c r="V39" s="344"/>
      <c r="W39" s="344"/>
      <c r="X39" s="344"/>
      <c r="Y39" s="344"/>
      <c r="Z39" s="345"/>
      <c r="AA39" s="343" t="s">
        <v>334</v>
      </c>
      <c r="AB39" s="344"/>
      <c r="AC39" s="344"/>
      <c r="AD39" s="344"/>
      <c r="AE39" s="344"/>
      <c r="AF39" s="345"/>
      <c r="AG39" s="343" t="s">
        <v>335</v>
      </c>
      <c r="AH39" s="344"/>
      <c r="AI39" s="344"/>
      <c r="AJ39" s="344"/>
      <c r="AK39" s="344"/>
      <c r="AL39" s="345"/>
    </row>
    <row r="40" spans="1:38" ht="21">
      <c r="A40" s="341"/>
      <c r="B40" s="341"/>
      <c r="C40" s="343" t="s">
        <v>336</v>
      </c>
      <c r="D40" s="345"/>
      <c r="E40" s="343" t="s">
        <v>337</v>
      </c>
      <c r="F40" s="345"/>
      <c r="G40" s="343" t="s">
        <v>14</v>
      </c>
      <c r="H40" s="345"/>
      <c r="I40" s="343" t="s">
        <v>336</v>
      </c>
      <c r="J40" s="345"/>
      <c r="K40" s="343" t="s">
        <v>337</v>
      </c>
      <c r="L40" s="345"/>
      <c r="M40" s="343" t="s">
        <v>14</v>
      </c>
      <c r="N40" s="345"/>
      <c r="O40" s="343" t="s">
        <v>336</v>
      </c>
      <c r="P40" s="345"/>
      <c r="Q40" s="343" t="s">
        <v>337</v>
      </c>
      <c r="R40" s="345"/>
      <c r="S40" s="343" t="s">
        <v>14</v>
      </c>
      <c r="T40" s="345"/>
      <c r="U40" s="343" t="s">
        <v>336</v>
      </c>
      <c r="V40" s="345"/>
      <c r="W40" s="343" t="s">
        <v>337</v>
      </c>
      <c r="X40" s="345"/>
      <c r="Y40" s="343" t="s">
        <v>14</v>
      </c>
      <c r="Z40" s="345"/>
      <c r="AA40" s="343" t="s">
        <v>336</v>
      </c>
      <c r="AB40" s="345"/>
      <c r="AC40" s="343" t="s">
        <v>337</v>
      </c>
      <c r="AD40" s="345"/>
      <c r="AE40" s="343" t="s">
        <v>14</v>
      </c>
      <c r="AF40" s="345"/>
      <c r="AG40" s="343" t="s">
        <v>336</v>
      </c>
      <c r="AH40" s="345"/>
      <c r="AI40" s="343" t="s">
        <v>337</v>
      </c>
      <c r="AJ40" s="345"/>
      <c r="AK40" s="343" t="s">
        <v>14</v>
      </c>
      <c r="AL40" s="345"/>
    </row>
    <row r="41" spans="1:38" ht="63">
      <c r="A41" s="342"/>
      <c r="B41" s="342"/>
      <c r="C41" s="167" t="s">
        <v>338</v>
      </c>
      <c r="D41" s="167" t="s">
        <v>339</v>
      </c>
      <c r="E41" s="167" t="s">
        <v>338</v>
      </c>
      <c r="F41" s="167" t="s">
        <v>339</v>
      </c>
      <c r="G41" s="167" t="s">
        <v>338</v>
      </c>
      <c r="H41" s="167" t="s">
        <v>339</v>
      </c>
      <c r="I41" s="167" t="s">
        <v>338</v>
      </c>
      <c r="J41" s="167" t="s">
        <v>339</v>
      </c>
      <c r="K41" s="167" t="s">
        <v>338</v>
      </c>
      <c r="L41" s="167" t="s">
        <v>339</v>
      </c>
      <c r="M41" s="167" t="s">
        <v>338</v>
      </c>
      <c r="N41" s="167" t="s">
        <v>339</v>
      </c>
      <c r="O41" s="167" t="s">
        <v>338</v>
      </c>
      <c r="P41" s="167" t="s">
        <v>339</v>
      </c>
      <c r="Q41" s="167" t="s">
        <v>338</v>
      </c>
      <c r="R41" s="167" t="s">
        <v>339</v>
      </c>
      <c r="S41" s="167" t="s">
        <v>338</v>
      </c>
      <c r="T41" s="167" t="s">
        <v>339</v>
      </c>
      <c r="U41" s="168" t="s">
        <v>338</v>
      </c>
      <c r="V41" s="168" t="s">
        <v>339</v>
      </c>
      <c r="W41" s="168" t="s">
        <v>338</v>
      </c>
      <c r="X41" s="168" t="s">
        <v>339</v>
      </c>
      <c r="Y41" s="168" t="s">
        <v>338</v>
      </c>
      <c r="Z41" s="168" t="s">
        <v>339</v>
      </c>
      <c r="AA41" s="168" t="s">
        <v>338</v>
      </c>
      <c r="AB41" s="168" t="s">
        <v>339</v>
      </c>
      <c r="AC41" s="168" t="s">
        <v>338</v>
      </c>
      <c r="AD41" s="168" t="s">
        <v>339</v>
      </c>
      <c r="AE41" s="168" t="s">
        <v>338</v>
      </c>
      <c r="AF41" s="168" t="s">
        <v>339</v>
      </c>
      <c r="AG41" s="168" t="s">
        <v>338</v>
      </c>
      <c r="AH41" s="168" t="s">
        <v>339</v>
      </c>
      <c r="AI41" s="168" t="s">
        <v>338</v>
      </c>
      <c r="AJ41" s="168" t="s">
        <v>339</v>
      </c>
      <c r="AK41" s="168" t="s">
        <v>338</v>
      </c>
      <c r="AL41" s="168" t="s">
        <v>339</v>
      </c>
    </row>
    <row r="42" spans="1:38" ht="21">
      <c r="A42" s="165">
        <v>1</v>
      </c>
      <c r="B42" s="166" t="s">
        <v>362</v>
      </c>
      <c r="C42" s="167"/>
      <c r="D42" s="167"/>
      <c r="E42" s="167"/>
      <c r="F42" s="167"/>
      <c r="G42" s="167">
        <v>0</v>
      </c>
      <c r="H42" s="167">
        <v>0</v>
      </c>
      <c r="I42" s="167">
        <v>212</v>
      </c>
      <c r="J42" s="167">
        <v>213.44</v>
      </c>
      <c r="K42" s="167">
        <v>47</v>
      </c>
      <c r="L42" s="167">
        <v>51.78</v>
      </c>
      <c r="M42" s="167">
        <v>259</v>
      </c>
      <c r="N42" s="167">
        <v>265.22</v>
      </c>
      <c r="O42" s="167"/>
      <c r="P42" s="167"/>
      <c r="Q42" s="167"/>
      <c r="R42" s="167"/>
      <c r="S42" s="167">
        <v>0</v>
      </c>
      <c r="T42" s="167">
        <v>0</v>
      </c>
      <c r="U42" s="168">
        <f aca="true" t="shared" si="6" ref="U42:U52">SUM(S42:T42)</f>
        <v>0</v>
      </c>
      <c r="V42" s="168"/>
      <c r="W42" s="168"/>
      <c r="X42" s="168"/>
      <c r="Y42" s="168">
        <v>0</v>
      </c>
      <c r="Z42" s="168">
        <v>0</v>
      </c>
      <c r="AA42" s="168">
        <v>215</v>
      </c>
      <c r="AB42" s="168">
        <v>196.39</v>
      </c>
      <c r="AC42" s="168">
        <v>47</v>
      </c>
      <c r="AD42" s="168">
        <v>48.97</v>
      </c>
      <c r="AE42" s="168">
        <v>262</v>
      </c>
      <c r="AF42" s="168">
        <v>245.36</v>
      </c>
      <c r="AG42" s="168"/>
      <c r="AH42" s="168"/>
      <c r="AI42" s="168"/>
      <c r="AJ42" s="168"/>
      <c r="AK42" s="168">
        <v>0</v>
      </c>
      <c r="AL42" s="168">
        <v>0</v>
      </c>
    </row>
    <row r="43" spans="1:38" ht="21">
      <c r="A43" s="165">
        <v>2</v>
      </c>
      <c r="B43" s="166" t="s">
        <v>363</v>
      </c>
      <c r="C43" s="167"/>
      <c r="D43" s="167"/>
      <c r="E43" s="167"/>
      <c r="F43" s="167"/>
      <c r="G43" s="167">
        <v>0</v>
      </c>
      <c r="H43" s="167">
        <v>0</v>
      </c>
      <c r="I43" s="167">
        <v>128</v>
      </c>
      <c r="J43" s="167">
        <v>124.72</v>
      </c>
      <c r="K43" s="167"/>
      <c r="L43" s="167"/>
      <c r="M43" s="167">
        <v>128</v>
      </c>
      <c r="N43" s="167">
        <v>124.72</v>
      </c>
      <c r="O43" s="167"/>
      <c r="P43" s="167"/>
      <c r="Q43" s="167"/>
      <c r="R43" s="167"/>
      <c r="S43" s="167">
        <v>0</v>
      </c>
      <c r="T43" s="167">
        <v>0</v>
      </c>
      <c r="U43" s="168">
        <f t="shared" si="6"/>
        <v>0</v>
      </c>
      <c r="V43" s="168"/>
      <c r="W43" s="168"/>
      <c r="X43" s="168"/>
      <c r="Y43" s="168">
        <v>0</v>
      </c>
      <c r="Z43" s="168">
        <v>0</v>
      </c>
      <c r="AA43" s="168">
        <v>129</v>
      </c>
      <c r="AB43" s="168">
        <v>122.61</v>
      </c>
      <c r="AC43" s="168"/>
      <c r="AD43" s="168"/>
      <c r="AE43" s="168">
        <v>129</v>
      </c>
      <c r="AF43" s="168">
        <v>122.61</v>
      </c>
      <c r="AG43" s="168"/>
      <c r="AH43" s="168"/>
      <c r="AI43" s="168"/>
      <c r="AJ43" s="168"/>
      <c r="AK43" s="168">
        <v>0</v>
      </c>
      <c r="AL43" s="168">
        <v>0</v>
      </c>
    </row>
    <row r="44" spans="1:38" ht="21">
      <c r="A44" s="165">
        <v>3</v>
      </c>
      <c r="B44" s="166" t="s">
        <v>364</v>
      </c>
      <c r="C44" s="167"/>
      <c r="D44" s="167"/>
      <c r="E44" s="167"/>
      <c r="F44" s="167"/>
      <c r="G44" s="167">
        <v>0</v>
      </c>
      <c r="H44" s="167">
        <v>0</v>
      </c>
      <c r="I44" s="167">
        <v>12</v>
      </c>
      <c r="J44" s="167">
        <v>4.92</v>
      </c>
      <c r="K44" s="167"/>
      <c r="L44" s="167"/>
      <c r="M44" s="167">
        <v>12</v>
      </c>
      <c r="N44" s="167">
        <v>4.92</v>
      </c>
      <c r="O44" s="167"/>
      <c r="P44" s="167"/>
      <c r="Q44" s="167"/>
      <c r="R44" s="167"/>
      <c r="S44" s="167">
        <v>0</v>
      </c>
      <c r="T44" s="167">
        <v>0</v>
      </c>
      <c r="U44" s="168">
        <f t="shared" si="6"/>
        <v>0</v>
      </c>
      <c r="V44" s="168"/>
      <c r="W44" s="168"/>
      <c r="X44" s="168"/>
      <c r="Y44" s="168">
        <v>0</v>
      </c>
      <c r="Z44" s="168">
        <v>0</v>
      </c>
      <c r="AA44" s="168">
        <v>12</v>
      </c>
      <c r="AB44" s="168">
        <v>7.33</v>
      </c>
      <c r="AC44" s="168"/>
      <c r="AD44" s="168"/>
      <c r="AE44" s="168">
        <v>12</v>
      </c>
      <c r="AF44" s="168">
        <v>7.33</v>
      </c>
      <c r="AG44" s="168"/>
      <c r="AH44" s="168"/>
      <c r="AI44" s="168"/>
      <c r="AJ44" s="168"/>
      <c r="AK44" s="168">
        <v>0</v>
      </c>
      <c r="AL44" s="168">
        <v>0</v>
      </c>
    </row>
    <row r="45" spans="1:38" ht="21">
      <c r="A45" s="165">
        <v>4</v>
      </c>
      <c r="B45" s="166" t="s">
        <v>365</v>
      </c>
      <c r="C45" s="167"/>
      <c r="D45" s="167"/>
      <c r="E45" s="167"/>
      <c r="F45" s="167"/>
      <c r="G45" s="167">
        <v>0</v>
      </c>
      <c r="H45" s="167">
        <v>0</v>
      </c>
      <c r="I45" s="167">
        <v>20</v>
      </c>
      <c r="J45" s="167">
        <v>23.89</v>
      </c>
      <c r="K45" s="167"/>
      <c r="L45" s="167"/>
      <c r="M45" s="167">
        <v>20</v>
      </c>
      <c r="N45" s="167">
        <v>23.89</v>
      </c>
      <c r="O45" s="167"/>
      <c r="P45" s="167"/>
      <c r="Q45" s="167"/>
      <c r="R45" s="167"/>
      <c r="S45" s="167">
        <v>0</v>
      </c>
      <c r="T45" s="167">
        <v>0</v>
      </c>
      <c r="U45" s="168">
        <f t="shared" si="6"/>
        <v>0</v>
      </c>
      <c r="V45" s="168"/>
      <c r="W45" s="168"/>
      <c r="X45" s="168"/>
      <c r="Y45" s="168">
        <v>0</v>
      </c>
      <c r="Z45" s="168">
        <v>0</v>
      </c>
      <c r="AA45" s="168">
        <v>20</v>
      </c>
      <c r="AB45" s="168">
        <v>11.67</v>
      </c>
      <c r="AC45" s="168"/>
      <c r="AD45" s="168"/>
      <c r="AE45" s="168">
        <v>20</v>
      </c>
      <c r="AF45" s="168">
        <v>11.67</v>
      </c>
      <c r="AG45" s="168"/>
      <c r="AH45" s="168"/>
      <c r="AI45" s="168"/>
      <c r="AJ45" s="168"/>
      <c r="AK45" s="168">
        <v>0</v>
      </c>
      <c r="AL45" s="168">
        <v>0</v>
      </c>
    </row>
    <row r="46" spans="1:38" ht="21">
      <c r="A46" s="165">
        <v>5</v>
      </c>
      <c r="B46" s="166" t="s">
        <v>366</v>
      </c>
      <c r="C46" s="167"/>
      <c r="D46" s="167"/>
      <c r="E46" s="167"/>
      <c r="F46" s="167"/>
      <c r="G46" s="167">
        <v>0</v>
      </c>
      <c r="H46" s="167">
        <v>0</v>
      </c>
      <c r="I46" s="167">
        <v>19</v>
      </c>
      <c r="J46" s="167">
        <v>18.08</v>
      </c>
      <c r="K46" s="167"/>
      <c r="L46" s="167"/>
      <c r="M46" s="167">
        <v>19</v>
      </c>
      <c r="N46" s="167">
        <v>18.08</v>
      </c>
      <c r="O46" s="167"/>
      <c r="P46" s="167"/>
      <c r="Q46" s="167"/>
      <c r="R46" s="167"/>
      <c r="S46" s="167">
        <v>0</v>
      </c>
      <c r="T46" s="167">
        <v>0</v>
      </c>
      <c r="U46" s="168">
        <f t="shared" si="6"/>
        <v>0</v>
      </c>
      <c r="V46" s="168"/>
      <c r="W46" s="168"/>
      <c r="X46" s="168"/>
      <c r="Y46" s="168">
        <v>0</v>
      </c>
      <c r="Z46" s="168">
        <v>0</v>
      </c>
      <c r="AA46" s="168">
        <v>19</v>
      </c>
      <c r="AB46" s="168">
        <v>16.25</v>
      </c>
      <c r="AC46" s="168"/>
      <c r="AD46" s="168"/>
      <c r="AE46" s="168">
        <v>19</v>
      </c>
      <c r="AF46" s="168">
        <v>16.25</v>
      </c>
      <c r="AG46" s="168"/>
      <c r="AH46" s="168"/>
      <c r="AI46" s="168"/>
      <c r="AJ46" s="168"/>
      <c r="AK46" s="168">
        <v>0</v>
      </c>
      <c r="AL46" s="168">
        <v>0</v>
      </c>
    </row>
    <row r="47" spans="1:38" ht="21">
      <c r="A47" s="165">
        <v>6</v>
      </c>
      <c r="B47" s="166" t="s">
        <v>367</v>
      </c>
      <c r="C47" s="167"/>
      <c r="D47" s="167"/>
      <c r="E47" s="167"/>
      <c r="F47" s="167"/>
      <c r="G47" s="167">
        <v>0</v>
      </c>
      <c r="H47" s="167">
        <v>0</v>
      </c>
      <c r="I47" s="167">
        <v>99</v>
      </c>
      <c r="J47" s="167">
        <v>90.86</v>
      </c>
      <c r="K47" s="167"/>
      <c r="L47" s="167"/>
      <c r="M47" s="167">
        <v>99</v>
      </c>
      <c r="N47" s="167">
        <v>90.86</v>
      </c>
      <c r="O47" s="167"/>
      <c r="P47" s="167"/>
      <c r="Q47" s="167"/>
      <c r="R47" s="167"/>
      <c r="S47" s="167">
        <v>0</v>
      </c>
      <c r="T47" s="167">
        <v>0</v>
      </c>
      <c r="U47" s="168">
        <f t="shared" si="6"/>
        <v>0</v>
      </c>
      <c r="V47" s="168"/>
      <c r="W47" s="168"/>
      <c r="X47" s="168"/>
      <c r="Y47" s="168">
        <v>0</v>
      </c>
      <c r="Z47" s="168">
        <v>0</v>
      </c>
      <c r="AA47" s="168">
        <v>99</v>
      </c>
      <c r="AB47" s="168">
        <v>83.67</v>
      </c>
      <c r="AC47" s="168"/>
      <c r="AD47" s="168"/>
      <c r="AE47" s="168">
        <v>99</v>
      </c>
      <c r="AF47" s="168">
        <v>83.67</v>
      </c>
      <c r="AG47" s="168"/>
      <c r="AH47" s="168"/>
      <c r="AI47" s="168"/>
      <c r="AJ47" s="168"/>
      <c r="AK47" s="168">
        <v>0</v>
      </c>
      <c r="AL47" s="168">
        <v>0</v>
      </c>
    </row>
    <row r="48" spans="1:38" ht="21">
      <c r="A48" s="165">
        <v>7</v>
      </c>
      <c r="B48" s="166" t="s">
        <v>368</v>
      </c>
      <c r="C48" s="167"/>
      <c r="D48" s="167"/>
      <c r="E48" s="167"/>
      <c r="F48" s="167"/>
      <c r="G48" s="167">
        <v>0</v>
      </c>
      <c r="H48" s="167">
        <v>0</v>
      </c>
      <c r="I48" s="167">
        <v>219</v>
      </c>
      <c r="J48" s="167">
        <v>207.03</v>
      </c>
      <c r="K48" s="167"/>
      <c r="L48" s="167"/>
      <c r="M48" s="167">
        <v>219</v>
      </c>
      <c r="N48" s="167">
        <v>207.03</v>
      </c>
      <c r="O48" s="167"/>
      <c r="P48" s="167"/>
      <c r="Q48" s="167"/>
      <c r="R48" s="167"/>
      <c r="S48" s="167">
        <v>0</v>
      </c>
      <c r="T48" s="167">
        <v>0</v>
      </c>
      <c r="U48" s="168">
        <f t="shared" si="6"/>
        <v>0</v>
      </c>
      <c r="V48" s="168"/>
      <c r="W48" s="168"/>
      <c r="X48" s="168"/>
      <c r="Y48" s="168">
        <v>0</v>
      </c>
      <c r="Z48" s="168">
        <v>0</v>
      </c>
      <c r="AA48" s="168">
        <v>220</v>
      </c>
      <c r="AB48" s="168">
        <v>207.5</v>
      </c>
      <c r="AC48" s="168"/>
      <c r="AD48" s="168"/>
      <c r="AE48" s="168">
        <v>220</v>
      </c>
      <c r="AF48" s="168">
        <v>207.5</v>
      </c>
      <c r="AG48" s="168"/>
      <c r="AH48" s="168"/>
      <c r="AI48" s="168"/>
      <c r="AJ48" s="168"/>
      <c r="AK48" s="168">
        <v>0</v>
      </c>
      <c r="AL48" s="168">
        <v>0</v>
      </c>
    </row>
    <row r="49" spans="1:38" ht="21">
      <c r="A49" s="165">
        <v>8</v>
      </c>
      <c r="B49" s="166" t="s">
        <v>369</v>
      </c>
      <c r="C49" s="167"/>
      <c r="D49" s="167"/>
      <c r="E49" s="167"/>
      <c r="F49" s="167"/>
      <c r="G49" s="167">
        <v>0</v>
      </c>
      <c r="H49" s="167">
        <v>0</v>
      </c>
      <c r="I49" s="167">
        <v>1</v>
      </c>
      <c r="J49" s="167">
        <v>0.5</v>
      </c>
      <c r="K49" s="167"/>
      <c r="L49" s="167"/>
      <c r="M49" s="167">
        <v>1</v>
      </c>
      <c r="N49" s="167">
        <v>0.5</v>
      </c>
      <c r="O49" s="167"/>
      <c r="P49" s="167"/>
      <c r="Q49" s="167"/>
      <c r="R49" s="167"/>
      <c r="S49" s="167">
        <v>0</v>
      </c>
      <c r="T49" s="167">
        <v>0</v>
      </c>
      <c r="U49" s="168">
        <f t="shared" si="6"/>
        <v>0</v>
      </c>
      <c r="V49" s="168"/>
      <c r="W49" s="168"/>
      <c r="X49" s="168"/>
      <c r="Y49" s="168">
        <v>0</v>
      </c>
      <c r="Z49" s="168">
        <v>0</v>
      </c>
      <c r="AA49" s="168">
        <v>1</v>
      </c>
      <c r="AB49" s="168">
        <v>0.5</v>
      </c>
      <c r="AC49" s="168"/>
      <c r="AD49" s="168"/>
      <c r="AE49" s="168">
        <v>1</v>
      </c>
      <c r="AF49" s="168">
        <v>0.5</v>
      </c>
      <c r="AG49" s="168"/>
      <c r="AH49" s="168"/>
      <c r="AI49" s="168"/>
      <c r="AJ49" s="168"/>
      <c r="AK49" s="168">
        <v>0</v>
      </c>
      <c r="AL49" s="168">
        <v>0</v>
      </c>
    </row>
    <row r="50" spans="1:38" ht="21">
      <c r="A50" s="165">
        <v>9</v>
      </c>
      <c r="B50" s="166" t="s">
        <v>370</v>
      </c>
      <c r="C50" s="167"/>
      <c r="D50" s="167"/>
      <c r="E50" s="167"/>
      <c r="F50" s="167"/>
      <c r="G50" s="167">
        <v>0</v>
      </c>
      <c r="H50" s="167">
        <v>0</v>
      </c>
      <c r="I50" s="167">
        <v>401</v>
      </c>
      <c r="J50" s="167">
        <v>403.17</v>
      </c>
      <c r="K50" s="167">
        <v>76</v>
      </c>
      <c r="L50" s="167">
        <v>80.47</v>
      </c>
      <c r="M50" s="167">
        <v>477</v>
      </c>
      <c r="N50" s="167">
        <v>483.64</v>
      </c>
      <c r="O50" s="167"/>
      <c r="P50" s="167"/>
      <c r="Q50" s="167"/>
      <c r="R50" s="167"/>
      <c r="S50" s="167">
        <v>0</v>
      </c>
      <c r="T50" s="167">
        <v>0</v>
      </c>
      <c r="U50" s="168">
        <f t="shared" si="6"/>
        <v>0</v>
      </c>
      <c r="V50" s="168"/>
      <c r="W50" s="168"/>
      <c r="X50" s="168"/>
      <c r="Y50" s="168">
        <v>0</v>
      </c>
      <c r="Z50" s="168">
        <v>0</v>
      </c>
      <c r="AA50" s="168">
        <v>401</v>
      </c>
      <c r="AB50" s="168">
        <v>358.64</v>
      </c>
      <c r="AC50" s="168">
        <v>76</v>
      </c>
      <c r="AD50" s="168">
        <v>66.14</v>
      </c>
      <c r="AE50" s="168">
        <v>477</v>
      </c>
      <c r="AF50" s="168">
        <v>424.78</v>
      </c>
      <c r="AG50" s="168"/>
      <c r="AH50" s="168"/>
      <c r="AI50" s="168"/>
      <c r="AJ50" s="168"/>
      <c r="AK50" s="168">
        <v>0</v>
      </c>
      <c r="AL50" s="168">
        <v>0</v>
      </c>
    </row>
    <row r="51" spans="1:38" ht="21">
      <c r="A51" s="165">
        <v>10</v>
      </c>
      <c r="B51" s="166" t="s">
        <v>371</v>
      </c>
      <c r="C51" s="167"/>
      <c r="D51" s="167"/>
      <c r="E51" s="167"/>
      <c r="F51" s="167"/>
      <c r="G51" s="167">
        <v>0</v>
      </c>
      <c r="H51" s="167">
        <v>0</v>
      </c>
      <c r="I51" s="167">
        <v>7</v>
      </c>
      <c r="J51" s="167">
        <v>3.11</v>
      </c>
      <c r="K51" s="167"/>
      <c r="L51" s="167"/>
      <c r="M51" s="167">
        <v>7</v>
      </c>
      <c r="N51" s="167">
        <v>3.11</v>
      </c>
      <c r="O51" s="167"/>
      <c r="P51" s="167"/>
      <c r="Q51" s="167"/>
      <c r="R51" s="167"/>
      <c r="S51" s="167">
        <v>0</v>
      </c>
      <c r="T51" s="167">
        <v>0</v>
      </c>
      <c r="U51" s="168">
        <f t="shared" si="6"/>
        <v>0</v>
      </c>
      <c r="V51" s="168"/>
      <c r="W51" s="168"/>
      <c r="X51" s="168"/>
      <c r="Y51" s="168">
        <v>0</v>
      </c>
      <c r="Z51" s="168">
        <v>0</v>
      </c>
      <c r="AA51" s="168">
        <v>7</v>
      </c>
      <c r="AB51" s="168">
        <v>6.44</v>
      </c>
      <c r="AC51" s="168"/>
      <c r="AD51" s="168"/>
      <c r="AE51" s="168">
        <v>7</v>
      </c>
      <c r="AF51" s="168">
        <v>6.44</v>
      </c>
      <c r="AG51" s="168"/>
      <c r="AH51" s="168"/>
      <c r="AI51" s="168"/>
      <c r="AJ51" s="168"/>
      <c r="AK51" s="168">
        <v>0</v>
      </c>
      <c r="AL51" s="168">
        <v>0</v>
      </c>
    </row>
    <row r="52" spans="1:38" ht="21">
      <c r="A52" s="165">
        <v>11</v>
      </c>
      <c r="B52" s="166" t="s">
        <v>372</v>
      </c>
      <c r="C52" s="167"/>
      <c r="D52" s="167"/>
      <c r="E52" s="167"/>
      <c r="F52" s="167"/>
      <c r="G52" s="167">
        <v>0</v>
      </c>
      <c r="H52" s="167">
        <v>0</v>
      </c>
      <c r="I52" s="167"/>
      <c r="J52" s="167"/>
      <c r="K52" s="167"/>
      <c r="L52" s="167"/>
      <c r="M52" s="167">
        <v>0</v>
      </c>
      <c r="N52" s="167">
        <v>0</v>
      </c>
      <c r="O52" s="167"/>
      <c r="P52" s="167"/>
      <c r="Q52" s="167"/>
      <c r="R52" s="167"/>
      <c r="S52" s="167">
        <v>0</v>
      </c>
      <c r="T52" s="167">
        <v>0</v>
      </c>
      <c r="U52" s="168">
        <f t="shared" si="6"/>
        <v>0</v>
      </c>
      <c r="V52" s="168"/>
      <c r="W52" s="168"/>
      <c r="X52" s="168"/>
      <c r="Y52" s="168">
        <v>0</v>
      </c>
      <c r="Z52" s="168">
        <v>0</v>
      </c>
      <c r="AA52" s="168"/>
      <c r="AB52" s="168"/>
      <c r="AC52" s="168"/>
      <c r="AD52" s="168"/>
      <c r="AE52" s="168">
        <v>0</v>
      </c>
      <c r="AF52" s="168">
        <v>0</v>
      </c>
      <c r="AG52" s="168"/>
      <c r="AH52" s="168"/>
      <c r="AI52" s="168"/>
      <c r="AJ52" s="168"/>
      <c r="AK52" s="168">
        <v>0</v>
      </c>
      <c r="AL52" s="168">
        <v>0</v>
      </c>
    </row>
    <row r="53" spans="1:38" ht="21">
      <c r="A53" s="346" t="s">
        <v>14</v>
      </c>
      <c r="B53" s="347"/>
      <c r="C53" s="167">
        <f aca="true" t="shared" si="7" ref="C53:H53">SUM(C42:C52)</f>
        <v>0</v>
      </c>
      <c r="D53" s="167">
        <f t="shared" si="7"/>
        <v>0</v>
      </c>
      <c r="E53" s="167">
        <f t="shared" si="7"/>
        <v>0</v>
      </c>
      <c r="F53" s="167">
        <f t="shared" si="7"/>
        <v>0</v>
      </c>
      <c r="G53" s="167">
        <f t="shared" si="7"/>
        <v>0</v>
      </c>
      <c r="H53" s="167">
        <f t="shared" si="7"/>
        <v>0</v>
      </c>
      <c r="I53" s="167">
        <f>SUM(I42:I52)</f>
        <v>1118</v>
      </c>
      <c r="J53" s="167">
        <f aca="true" t="shared" si="8" ref="J53:T53">SUM(J42:J52)</f>
        <v>1089.7199999999998</v>
      </c>
      <c r="K53" s="167">
        <f t="shared" si="8"/>
        <v>123</v>
      </c>
      <c r="L53" s="167">
        <f t="shared" si="8"/>
        <v>132.25</v>
      </c>
      <c r="M53" s="167">
        <f t="shared" si="8"/>
        <v>1241</v>
      </c>
      <c r="N53" s="167">
        <f t="shared" si="8"/>
        <v>1221.97</v>
      </c>
      <c r="O53" s="167">
        <f t="shared" si="8"/>
        <v>0</v>
      </c>
      <c r="P53" s="167">
        <f t="shared" si="8"/>
        <v>0</v>
      </c>
      <c r="Q53" s="167">
        <f t="shared" si="8"/>
        <v>0</v>
      </c>
      <c r="R53" s="167">
        <f t="shared" si="8"/>
        <v>0</v>
      </c>
      <c r="S53" s="167">
        <f t="shared" si="8"/>
        <v>0</v>
      </c>
      <c r="T53" s="167">
        <f t="shared" si="8"/>
        <v>0</v>
      </c>
      <c r="U53" s="168">
        <f>+U52+U51+U50+U49+U48+U47+U46+U45+U44+U43+U42</f>
        <v>0</v>
      </c>
      <c r="V53" s="168">
        <f aca="true" t="shared" si="9" ref="V53:AL53">+V52+V51+V50+V49+V48+V47+V46+V45+V44+V43+V42</f>
        <v>0</v>
      </c>
      <c r="W53" s="168">
        <f t="shared" si="9"/>
        <v>0</v>
      </c>
      <c r="X53" s="168">
        <f t="shared" si="9"/>
        <v>0</v>
      </c>
      <c r="Y53" s="168">
        <f t="shared" si="9"/>
        <v>0</v>
      </c>
      <c r="Z53" s="168">
        <f t="shared" si="9"/>
        <v>0</v>
      </c>
      <c r="AA53" s="168">
        <f t="shared" si="9"/>
        <v>1123</v>
      </c>
      <c r="AB53" s="168">
        <f t="shared" si="9"/>
        <v>1010.9999999999999</v>
      </c>
      <c r="AC53" s="168">
        <f t="shared" si="9"/>
        <v>123</v>
      </c>
      <c r="AD53" s="168">
        <f t="shared" si="9"/>
        <v>115.11</v>
      </c>
      <c r="AE53" s="168">
        <f t="shared" si="9"/>
        <v>1246</v>
      </c>
      <c r="AF53" s="168">
        <f t="shared" si="9"/>
        <v>1126.1100000000001</v>
      </c>
      <c r="AG53" s="168">
        <f t="shared" si="9"/>
        <v>0</v>
      </c>
      <c r="AH53" s="168">
        <f t="shared" si="9"/>
        <v>0</v>
      </c>
      <c r="AI53" s="168">
        <f t="shared" si="9"/>
        <v>0</v>
      </c>
      <c r="AJ53" s="168">
        <f t="shared" si="9"/>
        <v>0</v>
      </c>
      <c r="AK53" s="168">
        <f t="shared" si="9"/>
        <v>0</v>
      </c>
      <c r="AL53" s="168">
        <f t="shared" si="9"/>
        <v>0</v>
      </c>
    </row>
    <row r="54" spans="1:38" ht="21">
      <c r="A54" s="337" t="s">
        <v>328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9"/>
    </row>
    <row r="55" spans="1:38" ht="21">
      <c r="A55" s="337" t="s">
        <v>329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9"/>
    </row>
    <row r="56" spans="1:38" ht="21">
      <c r="A56" s="340" t="s">
        <v>330</v>
      </c>
      <c r="B56" s="340" t="s">
        <v>331</v>
      </c>
      <c r="C56" s="343" t="s">
        <v>332</v>
      </c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5"/>
      <c r="U56" s="343" t="s">
        <v>333</v>
      </c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5"/>
    </row>
    <row r="57" spans="1:38" ht="21">
      <c r="A57" s="341"/>
      <c r="B57" s="341"/>
      <c r="C57" s="343" t="s">
        <v>195</v>
      </c>
      <c r="D57" s="344"/>
      <c r="E57" s="344"/>
      <c r="F57" s="344"/>
      <c r="G57" s="344"/>
      <c r="H57" s="345"/>
      <c r="I57" s="343" t="s">
        <v>334</v>
      </c>
      <c r="J57" s="344"/>
      <c r="K57" s="344"/>
      <c r="L57" s="344"/>
      <c r="M57" s="344"/>
      <c r="N57" s="345"/>
      <c r="O57" s="343" t="s">
        <v>335</v>
      </c>
      <c r="P57" s="344"/>
      <c r="Q57" s="344"/>
      <c r="R57" s="344"/>
      <c r="S57" s="344"/>
      <c r="T57" s="345"/>
      <c r="U57" s="343" t="s">
        <v>195</v>
      </c>
      <c r="V57" s="344"/>
      <c r="W57" s="344"/>
      <c r="X57" s="344"/>
      <c r="Y57" s="344"/>
      <c r="Z57" s="345"/>
      <c r="AA57" s="343" t="s">
        <v>334</v>
      </c>
      <c r="AB57" s="344"/>
      <c r="AC57" s="344"/>
      <c r="AD57" s="344"/>
      <c r="AE57" s="344"/>
      <c r="AF57" s="345"/>
      <c r="AG57" s="343" t="s">
        <v>335</v>
      </c>
      <c r="AH57" s="344"/>
      <c r="AI57" s="344"/>
      <c r="AJ57" s="344"/>
      <c r="AK57" s="344"/>
      <c r="AL57" s="345"/>
    </row>
    <row r="58" spans="1:38" ht="21">
      <c r="A58" s="341"/>
      <c r="B58" s="341"/>
      <c r="C58" s="343" t="s">
        <v>336</v>
      </c>
      <c r="D58" s="345"/>
      <c r="E58" s="343" t="s">
        <v>337</v>
      </c>
      <c r="F58" s="345"/>
      <c r="G58" s="343" t="s">
        <v>14</v>
      </c>
      <c r="H58" s="345"/>
      <c r="I58" s="343" t="s">
        <v>336</v>
      </c>
      <c r="J58" s="345"/>
      <c r="K58" s="343" t="s">
        <v>337</v>
      </c>
      <c r="L58" s="345"/>
      <c r="M58" s="343" t="s">
        <v>14</v>
      </c>
      <c r="N58" s="345"/>
      <c r="O58" s="343" t="s">
        <v>336</v>
      </c>
      <c r="P58" s="345"/>
      <c r="Q58" s="343" t="s">
        <v>337</v>
      </c>
      <c r="R58" s="345"/>
      <c r="S58" s="343" t="s">
        <v>14</v>
      </c>
      <c r="T58" s="345"/>
      <c r="U58" s="343" t="s">
        <v>336</v>
      </c>
      <c r="V58" s="345"/>
      <c r="W58" s="343" t="s">
        <v>337</v>
      </c>
      <c r="X58" s="345"/>
      <c r="Y58" s="343" t="s">
        <v>14</v>
      </c>
      <c r="Z58" s="345"/>
      <c r="AA58" s="343" t="s">
        <v>336</v>
      </c>
      <c r="AB58" s="345"/>
      <c r="AC58" s="343" t="s">
        <v>337</v>
      </c>
      <c r="AD58" s="345"/>
      <c r="AE58" s="343" t="s">
        <v>14</v>
      </c>
      <c r="AF58" s="345"/>
      <c r="AG58" s="343" t="s">
        <v>336</v>
      </c>
      <c r="AH58" s="345"/>
      <c r="AI58" s="343" t="s">
        <v>337</v>
      </c>
      <c r="AJ58" s="345"/>
      <c r="AK58" s="343" t="s">
        <v>14</v>
      </c>
      <c r="AL58" s="345"/>
    </row>
    <row r="59" spans="1:38" ht="63">
      <c r="A59" s="342"/>
      <c r="B59" s="342"/>
      <c r="C59" s="167" t="s">
        <v>338</v>
      </c>
      <c r="D59" s="167" t="s">
        <v>339</v>
      </c>
      <c r="E59" s="167" t="s">
        <v>338</v>
      </c>
      <c r="F59" s="167" t="s">
        <v>339</v>
      </c>
      <c r="G59" s="167" t="s">
        <v>338</v>
      </c>
      <c r="H59" s="167" t="s">
        <v>339</v>
      </c>
      <c r="I59" s="167" t="s">
        <v>338</v>
      </c>
      <c r="J59" s="167" t="s">
        <v>339</v>
      </c>
      <c r="K59" s="167" t="s">
        <v>338</v>
      </c>
      <c r="L59" s="167" t="s">
        <v>339</v>
      </c>
      <c r="M59" s="167" t="s">
        <v>338</v>
      </c>
      <c r="N59" s="167" t="s">
        <v>339</v>
      </c>
      <c r="O59" s="167" t="s">
        <v>338</v>
      </c>
      <c r="P59" s="167" t="s">
        <v>339</v>
      </c>
      <c r="Q59" s="167" t="s">
        <v>338</v>
      </c>
      <c r="R59" s="167" t="s">
        <v>339</v>
      </c>
      <c r="S59" s="167" t="s">
        <v>338</v>
      </c>
      <c r="T59" s="167" t="s">
        <v>339</v>
      </c>
      <c r="U59" s="168" t="s">
        <v>338</v>
      </c>
      <c r="V59" s="168" t="s">
        <v>339</v>
      </c>
      <c r="W59" s="168" t="s">
        <v>338</v>
      </c>
      <c r="X59" s="168" t="s">
        <v>339</v>
      </c>
      <c r="Y59" s="168" t="s">
        <v>338</v>
      </c>
      <c r="Z59" s="168" t="s">
        <v>339</v>
      </c>
      <c r="AA59" s="168" t="s">
        <v>338</v>
      </c>
      <c r="AB59" s="168" t="s">
        <v>339</v>
      </c>
      <c r="AC59" s="168" t="s">
        <v>338</v>
      </c>
      <c r="AD59" s="168" t="s">
        <v>339</v>
      </c>
      <c r="AE59" s="168" t="s">
        <v>338</v>
      </c>
      <c r="AF59" s="168" t="s">
        <v>339</v>
      </c>
      <c r="AG59" s="168" t="s">
        <v>338</v>
      </c>
      <c r="AH59" s="168" t="s">
        <v>339</v>
      </c>
      <c r="AI59" s="168" t="s">
        <v>338</v>
      </c>
      <c r="AJ59" s="168" t="s">
        <v>339</v>
      </c>
      <c r="AK59" s="168" t="s">
        <v>338</v>
      </c>
      <c r="AL59" s="168" t="s">
        <v>339</v>
      </c>
    </row>
    <row r="60" spans="1:38" ht="21">
      <c r="A60" s="165">
        <v>1</v>
      </c>
      <c r="B60" s="166" t="s">
        <v>346</v>
      </c>
      <c r="C60" s="167"/>
      <c r="D60" s="167"/>
      <c r="E60" s="167"/>
      <c r="F60" s="167"/>
      <c r="G60" s="167">
        <v>0</v>
      </c>
      <c r="H60" s="167">
        <v>0</v>
      </c>
      <c r="I60" s="167">
        <v>3</v>
      </c>
      <c r="J60" s="167">
        <v>1.58</v>
      </c>
      <c r="K60" s="167"/>
      <c r="L60" s="167"/>
      <c r="M60" s="167">
        <v>3</v>
      </c>
      <c r="N60" s="167">
        <v>1.58</v>
      </c>
      <c r="O60" s="167"/>
      <c r="P60" s="167"/>
      <c r="Q60" s="167"/>
      <c r="R60" s="167"/>
      <c r="S60" s="167">
        <v>0</v>
      </c>
      <c r="T60" s="167">
        <v>0</v>
      </c>
      <c r="U60" s="168"/>
      <c r="V60" s="168"/>
      <c r="W60" s="168"/>
      <c r="X60" s="168"/>
      <c r="Y60" s="168">
        <v>0</v>
      </c>
      <c r="Z60" s="168">
        <v>0</v>
      </c>
      <c r="AA60" s="168">
        <v>3</v>
      </c>
      <c r="AB60" s="168">
        <v>2.67</v>
      </c>
      <c r="AC60" s="168"/>
      <c r="AD60" s="168"/>
      <c r="AE60" s="168">
        <v>3</v>
      </c>
      <c r="AF60" s="168">
        <v>2.67</v>
      </c>
      <c r="AG60" s="168"/>
      <c r="AH60" s="168"/>
      <c r="AI60" s="168"/>
      <c r="AJ60" s="168"/>
      <c r="AK60" s="168">
        <v>0</v>
      </c>
      <c r="AL60" s="168">
        <v>0</v>
      </c>
    </row>
    <row r="61" spans="1:38" ht="21">
      <c r="A61" s="346" t="s">
        <v>14</v>
      </c>
      <c r="B61" s="347"/>
      <c r="C61" s="167">
        <f>SUM(C60)</f>
        <v>0</v>
      </c>
      <c r="D61" s="167">
        <f aca="true" t="shared" si="10" ref="D61:T61">SUM(D60)</f>
        <v>0</v>
      </c>
      <c r="E61" s="167">
        <f t="shared" si="10"/>
        <v>0</v>
      </c>
      <c r="F61" s="167">
        <f t="shared" si="10"/>
        <v>0</v>
      </c>
      <c r="G61" s="167">
        <f t="shared" si="10"/>
        <v>0</v>
      </c>
      <c r="H61" s="167">
        <f t="shared" si="10"/>
        <v>0</v>
      </c>
      <c r="I61" s="167">
        <f t="shared" si="10"/>
        <v>3</v>
      </c>
      <c r="J61" s="167">
        <f t="shared" si="10"/>
        <v>1.58</v>
      </c>
      <c r="K61" s="167">
        <f t="shared" si="10"/>
        <v>0</v>
      </c>
      <c r="L61" s="167">
        <f t="shared" si="10"/>
        <v>0</v>
      </c>
      <c r="M61" s="167">
        <f t="shared" si="10"/>
        <v>3</v>
      </c>
      <c r="N61" s="167">
        <f t="shared" si="10"/>
        <v>1.58</v>
      </c>
      <c r="O61" s="167">
        <f t="shared" si="10"/>
        <v>0</v>
      </c>
      <c r="P61" s="167">
        <f t="shared" si="10"/>
        <v>0</v>
      </c>
      <c r="Q61" s="167">
        <f t="shared" si="10"/>
        <v>0</v>
      </c>
      <c r="R61" s="167">
        <f t="shared" si="10"/>
        <v>0</v>
      </c>
      <c r="S61" s="167">
        <f t="shared" si="10"/>
        <v>0</v>
      </c>
      <c r="T61" s="167">
        <f t="shared" si="10"/>
        <v>0</v>
      </c>
      <c r="U61" s="168">
        <f>+U60</f>
        <v>0</v>
      </c>
      <c r="V61" s="168">
        <f aca="true" t="shared" si="11" ref="V61:AL61">+V60</f>
        <v>0</v>
      </c>
      <c r="W61" s="168">
        <f t="shared" si="11"/>
        <v>0</v>
      </c>
      <c r="X61" s="168">
        <f t="shared" si="11"/>
        <v>0</v>
      </c>
      <c r="Y61" s="168">
        <f t="shared" si="11"/>
        <v>0</v>
      </c>
      <c r="Z61" s="168">
        <f t="shared" si="11"/>
        <v>0</v>
      </c>
      <c r="AA61" s="168">
        <f t="shared" si="11"/>
        <v>3</v>
      </c>
      <c r="AB61" s="168">
        <f t="shared" si="11"/>
        <v>2.67</v>
      </c>
      <c r="AC61" s="168">
        <f t="shared" si="11"/>
        <v>0</v>
      </c>
      <c r="AD61" s="168">
        <f t="shared" si="11"/>
        <v>0</v>
      </c>
      <c r="AE61" s="168">
        <f t="shared" si="11"/>
        <v>3</v>
      </c>
      <c r="AF61" s="168">
        <f t="shared" si="11"/>
        <v>2.67</v>
      </c>
      <c r="AG61" s="168">
        <f t="shared" si="11"/>
        <v>0</v>
      </c>
      <c r="AH61" s="168">
        <f t="shared" si="11"/>
        <v>0</v>
      </c>
      <c r="AI61" s="168">
        <f t="shared" si="11"/>
        <v>0</v>
      </c>
      <c r="AJ61" s="168">
        <f t="shared" si="11"/>
        <v>0</v>
      </c>
      <c r="AK61" s="168">
        <f t="shared" si="11"/>
        <v>0</v>
      </c>
      <c r="AL61" s="168">
        <f t="shared" si="11"/>
        <v>0</v>
      </c>
    </row>
    <row r="62" spans="1:38" ht="21">
      <c r="A62" s="337" t="s">
        <v>328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9"/>
    </row>
    <row r="63" spans="1:38" ht="21">
      <c r="A63" s="337" t="s">
        <v>373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9"/>
    </row>
    <row r="64" spans="1:38" ht="21">
      <c r="A64" s="340" t="s">
        <v>330</v>
      </c>
      <c r="B64" s="340" t="s">
        <v>331</v>
      </c>
      <c r="C64" s="343" t="s">
        <v>332</v>
      </c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5"/>
      <c r="U64" s="343" t="s">
        <v>333</v>
      </c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5"/>
    </row>
    <row r="65" spans="1:38" ht="21">
      <c r="A65" s="341"/>
      <c r="B65" s="341"/>
      <c r="C65" s="343" t="s">
        <v>195</v>
      </c>
      <c r="D65" s="344"/>
      <c r="E65" s="344"/>
      <c r="F65" s="344"/>
      <c r="G65" s="344"/>
      <c r="H65" s="345"/>
      <c r="I65" s="343" t="s">
        <v>334</v>
      </c>
      <c r="J65" s="344"/>
      <c r="K65" s="344"/>
      <c r="L65" s="344"/>
      <c r="M65" s="344"/>
      <c r="N65" s="345"/>
      <c r="O65" s="343" t="s">
        <v>335</v>
      </c>
      <c r="P65" s="344"/>
      <c r="Q65" s="344"/>
      <c r="R65" s="344"/>
      <c r="S65" s="344"/>
      <c r="T65" s="345"/>
      <c r="U65" s="343" t="s">
        <v>195</v>
      </c>
      <c r="V65" s="344"/>
      <c r="W65" s="344"/>
      <c r="X65" s="344"/>
      <c r="Y65" s="344"/>
      <c r="Z65" s="345"/>
      <c r="AA65" s="343" t="s">
        <v>334</v>
      </c>
      <c r="AB65" s="344"/>
      <c r="AC65" s="344"/>
      <c r="AD65" s="344"/>
      <c r="AE65" s="344"/>
      <c r="AF65" s="345"/>
      <c r="AG65" s="343" t="s">
        <v>335</v>
      </c>
      <c r="AH65" s="344"/>
      <c r="AI65" s="344"/>
      <c r="AJ65" s="344"/>
      <c r="AK65" s="344"/>
      <c r="AL65" s="345"/>
    </row>
    <row r="66" spans="1:38" ht="21">
      <c r="A66" s="341"/>
      <c r="B66" s="341"/>
      <c r="C66" s="343" t="s">
        <v>336</v>
      </c>
      <c r="D66" s="345"/>
      <c r="E66" s="343" t="s">
        <v>337</v>
      </c>
      <c r="F66" s="345"/>
      <c r="G66" s="343" t="s">
        <v>14</v>
      </c>
      <c r="H66" s="345"/>
      <c r="I66" s="343" t="s">
        <v>336</v>
      </c>
      <c r="J66" s="345"/>
      <c r="K66" s="343" t="s">
        <v>337</v>
      </c>
      <c r="L66" s="345"/>
      <c r="M66" s="343" t="s">
        <v>14</v>
      </c>
      <c r="N66" s="345"/>
      <c r="O66" s="343" t="s">
        <v>336</v>
      </c>
      <c r="P66" s="345"/>
      <c r="Q66" s="343" t="s">
        <v>337</v>
      </c>
      <c r="R66" s="345"/>
      <c r="S66" s="343" t="s">
        <v>14</v>
      </c>
      <c r="T66" s="345"/>
      <c r="U66" s="343" t="s">
        <v>336</v>
      </c>
      <c r="V66" s="345"/>
      <c r="W66" s="343" t="s">
        <v>337</v>
      </c>
      <c r="X66" s="345"/>
      <c r="Y66" s="343" t="s">
        <v>14</v>
      </c>
      <c r="Z66" s="345"/>
      <c r="AA66" s="343" t="s">
        <v>336</v>
      </c>
      <c r="AB66" s="345"/>
      <c r="AC66" s="343" t="s">
        <v>337</v>
      </c>
      <c r="AD66" s="345"/>
      <c r="AE66" s="343" t="s">
        <v>14</v>
      </c>
      <c r="AF66" s="345"/>
      <c r="AG66" s="343" t="s">
        <v>336</v>
      </c>
      <c r="AH66" s="345"/>
      <c r="AI66" s="343" t="s">
        <v>337</v>
      </c>
      <c r="AJ66" s="345"/>
      <c r="AK66" s="343" t="s">
        <v>14</v>
      </c>
      <c r="AL66" s="345"/>
    </row>
    <row r="67" spans="1:38" ht="63">
      <c r="A67" s="342"/>
      <c r="B67" s="342"/>
      <c r="C67" s="167" t="s">
        <v>338</v>
      </c>
      <c r="D67" s="167" t="s">
        <v>339</v>
      </c>
      <c r="E67" s="167" t="s">
        <v>338</v>
      </c>
      <c r="F67" s="167" t="s">
        <v>339</v>
      </c>
      <c r="G67" s="167" t="s">
        <v>338</v>
      </c>
      <c r="H67" s="167" t="s">
        <v>339</v>
      </c>
      <c r="I67" s="167" t="s">
        <v>338</v>
      </c>
      <c r="J67" s="167" t="s">
        <v>339</v>
      </c>
      <c r="K67" s="167" t="s">
        <v>338</v>
      </c>
      <c r="L67" s="167" t="s">
        <v>339</v>
      </c>
      <c r="M67" s="167" t="s">
        <v>338</v>
      </c>
      <c r="N67" s="167" t="s">
        <v>339</v>
      </c>
      <c r="O67" s="167" t="s">
        <v>338</v>
      </c>
      <c r="P67" s="167" t="s">
        <v>339</v>
      </c>
      <c r="Q67" s="167" t="s">
        <v>338</v>
      </c>
      <c r="R67" s="167" t="s">
        <v>339</v>
      </c>
      <c r="S67" s="167" t="s">
        <v>338</v>
      </c>
      <c r="T67" s="167" t="s">
        <v>339</v>
      </c>
      <c r="U67" s="168" t="s">
        <v>338</v>
      </c>
      <c r="V67" s="168" t="s">
        <v>339</v>
      </c>
      <c r="W67" s="168" t="s">
        <v>338</v>
      </c>
      <c r="X67" s="168" t="s">
        <v>339</v>
      </c>
      <c r="Y67" s="168" t="s">
        <v>338</v>
      </c>
      <c r="Z67" s="168" t="s">
        <v>339</v>
      </c>
      <c r="AA67" s="168" t="s">
        <v>338</v>
      </c>
      <c r="AB67" s="168" t="s">
        <v>339</v>
      </c>
      <c r="AC67" s="168" t="s">
        <v>338</v>
      </c>
      <c r="AD67" s="168" t="s">
        <v>339</v>
      </c>
      <c r="AE67" s="168" t="s">
        <v>338</v>
      </c>
      <c r="AF67" s="168" t="s">
        <v>339</v>
      </c>
      <c r="AG67" s="168" t="s">
        <v>338</v>
      </c>
      <c r="AH67" s="168" t="s">
        <v>339</v>
      </c>
      <c r="AI67" s="168" t="s">
        <v>338</v>
      </c>
      <c r="AJ67" s="168" t="s">
        <v>339</v>
      </c>
      <c r="AK67" s="168" t="s">
        <v>338</v>
      </c>
      <c r="AL67" s="168" t="s">
        <v>339</v>
      </c>
    </row>
    <row r="68" spans="1:38" ht="21">
      <c r="A68" s="165">
        <v>1</v>
      </c>
      <c r="B68" s="166" t="s">
        <v>373</v>
      </c>
      <c r="C68" s="167"/>
      <c r="D68" s="167"/>
      <c r="E68" s="167"/>
      <c r="F68" s="167"/>
      <c r="G68" s="167">
        <v>0</v>
      </c>
      <c r="H68" s="167">
        <v>0</v>
      </c>
      <c r="I68" s="167">
        <v>259</v>
      </c>
      <c r="J68" s="167">
        <v>296.39</v>
      </c>
      <c r="K68" s="167"/>
      <c r="L68" s="167"/>
      <c r="M68" s="167">
        <v>259</v>
      </c>
      <c r="N68" s="167">
        <v>296.39</v>
      </c>
      <c r="O68" s="167"/>
      <c r="P68" s="167"/>
      <c r="Q68" s="167"/>
      <c r="R68" s="167"/>
      <c r="S68" s="167">
        <v>0</v>
      </c>
      <c r="T68" s="167">
        <v>0</v>
      </c>
      <c r="U68" s="168"/>
      <c r="V68" s="168"/>
      <c r="W68" s="168"/>
      <c r="X68" s="168"/>
      <c r="Y68" s="168">
        <v>0</v>
      </c>
      <c r="Z68" s="168">
        <v>0</v>
      </c>
      <c r="AA68" s="168">
        <v>259</v>
      </c>
      <c r="AB68" s="168">
        <v>279.17</v>
      </c>
      <c r="AC68" s="168"/>
      <c r="AD68" s="168"/>
      <c r="AE68" s="168">
        <v>259</v>
      </c>
      <c r="AF68" s="168">
        <v>279.17</v>
      </c>
      <c r="AG68" s="168"/>
      <c r="AH68" s="168"/>
      <c r="AI68" s="168"/>
      <c r="AJ68" s="168"/>
      <c r="AK68" s="168">
        <v>0</v>
      </c>
      <c r="AL68" s="168">
        <v>0</v>
      </c>
    </row>
    <row r="69" spans="1:38" ht="21">
      <c r="A69" s="346" t="s">
        <v>14</v>
      </c>
      <c r="B69" s="347"/>
      <c r="C69" s="167">
        <f>SUM(C68)</f>
        <v>0</v>
      </c>
      <c r="D69" s="167">
        <f aca="true" t="shared" si="12" ref="D69:T69">SUM(D68)</f>
        <v>0</v>
      </c>
      <c r="E69" s="167">
        <f t="shared" si="12"/>
        <v>0</v>
      </c>
      <c r="F69" s="167">
        <f t="shared" si="12"/>
        <v>0</v>
      </c>
      <c r="G69" s="167">
        <f t="shared" si="12"/>
        <v>0</v>
      </c>
      <c r="H69" s="167">
        <f t="shared" si="12"/>
        <v>0</v>
      </c>
      <c r="I69" s="167">
        <f t="shared" si="12"/>
        <v>259</v>
      </c>
      <c r="J69" s="167">
        <f t="shared" si="12"/>
        <v>296.39</v>
      </c>
      <c r="K69" s="167">
        <f t="shared" si="12"/>
        <v>0</v>
      </c>
      <c r="L69" s="167">
        <f t="shared" si="12"/>
        <v>0</v>
      </c>
      <c r="M69" s="167">
        <f t="shared" si="12"/>
        <v>259</v>
      </c>
      <c r="N69" s="167">
        <f t="shared" si="12"/>
        <v>296.39</v>
      </c>
      <c r="O69" s="167">
        <f t="shared" si="12"/>
        <v>0</v>
      </c>
      <c r="P69" s="167">
        <f t="shared" si="12"/>
        <v>0</v>
      </c>
      <c r="Q69" s="167">
        <f t="shared" si="12"/>
        <v>0</v>
      </c>
      <c r="R69" s="167">
        <f t="shared" si="12"/>
        <v>0</v>
      </c>
      <c r="S69" s="167">
        <f t="shared" si="12"/>
        <v>0</v>
      </c>
      <c r="T69" s="167">
        <f t="shared" si="12"/>
        <v>0</v>
      </c>
      <c r="U69" s="168">
        <f>+U68</f>
        <v>0</v>
      </c>
      <c r="V69" s="168">
        <f aca="true" t="shared" si="13" ref="V69:AL69">+V68</f>
        <v>0</v>
      </c>
      <c r="W69" s="168">
        <f t="shared" si="13"/>
        <v>0</v>
      </c>
      <c r="X69" s="168">
        <f t="shared" si="13"/>
        <v>0</v>
      </c>
      <c r="Y69" s="168">
        <f t="shared" si="13"/>
        <v>0</v>
      </c>
      <c r="Z69" s="168">
        <f t="shared" si="13"/>
        <v>0</v>
      </c>
      <c r="AA69" s="168">
        <f t="shared" si="13"/>
        <v>259</v>
      </c>
      <c r="AB69" s="168">
        <f t="shared" si="13"/>
        <v>279.17</v>
      </c>
      <c r="AC69" s="168">
        <f t="shared" si="13"/>
        <v>0</v>
      </c>
      <c r="AD69" s="168">
        <f t="shared" si="13"/>
        <v>0</v>
      </c>
      <c r="AE69" s="168">
        <f t="shared" si="13"/>
        <v>259</v>
      </c>
      <c r="AF69" s="168">
        <f t="shared" si="13"/>
        <v>279.17</v>
      </c>
      <c r="AG69" s="168">
        <f t="shared" si="13"/>
        <v>0</v>
      </c>
      <c r="AH69" s="168">
        <f t="shared" si="13"/>
        <v>0</v>
      </c>
      <c r="AI69" s="168">
        <f t="shared" si="13"/>
        <v>0</v>
      </c>
      <c r="AJ69" s="168">
        <f t="shared" si="13"/>
        <v>0</v>
      </c>
      <c r="AK69" s="168">
        <f t="shared" si="13"/>
        <v>0</v>
      </c>
      <c r="AL69" s="168">
        <f t="shared" si="13"/>
        <v>0</v>
      </c>
    </row>
    <row r="70" spans="1:38" ht="21">
      <c r="A70" s="337" t="s">
        <v>328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9"/>
    </row>
    <row r="71" spans="1:38" s="245" customFormat="1" ht="21">
      <c r="A71" s="348" t="s">
        <v>374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50"/>
    </row>
    <row r="72" spans="1:38" ht="21">
      <c r="A72" s="340" t="s">
        <v>330</v>
      </c>
      <c r="B72" s="340" t="s">
        <v>331</v>
      </c>
      <c r="C72" s="343" t="s">
        <v>332</v>
      </c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5"/>
      <c r="U72" s="343" t="s">
        <v>333</v>
      </c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5"/>
    </row>
    <row r="73" spans="1:38" ht="21">
      <c r="A73" s="341"/>
      <c r="B73" s="341"/>
      <c r="C73" s="343" t="s">
        <v>195</v>
      </c>
      <c r="D73" s="344"/>
      <c r="E73" s="344"/>
      <c r="F73" s="344"/>
      <c r="G73" s="344"/>
      <c r="H73" s="345"/>
      <c r="I73" s="343" t="s">
        <v>334</v>
      </c>
      <c r="J73" s="344"/>
      <c r="K73" s="344"/>
      <c r="L73" s="344"/>
      <c r="M73" s="344"/>
      <c r="N73" s="345"/>
      <c r="O73" s="343" t="s">
        <v>335</v>
      </c>
      <c r="P73" s="344"/>
      <c r="Q73" s="344"/>
      <c r="R73" s="344"/>
      <c r="S73" s="344"/>
      <c r="T73" s="345"/>
      <c r="U73" s="343" t="s">
        <v>195</v>
      </c>
      <c r="V73" s="344"/>
      <c r="W73" s="344"/>
      <c r="X73" s="344"/>
      <c r="Y73" s="344"/>
      <c r="Z73" s="345"/>
      <c r="AA73" s="343" t="s">
        <v>334</v>
      </c>
      <c r="AB73" s="344"/>
      <c r="AC73" s="344"/>
      <c r="AD73" s="344"/>
      <c r="AE73" s="344"/>
      <c r="AF73" s="345"/>
      <c r="AG73" s="343" t="s">
        <v>335</v>
      </c>
      <c r="AH73" s="344"/>
      <c r="AI73" s="344"/>
      <c r="AJ73" s="344"/>
      <c r="AK73" s="344"/>
      <c r="AL73" s="345"/>
    </row>
    <row r="74" spans="1:38" ht="21">
      <c r="A74" s="341"/>
      <c r="B74" s="341"/>
      <c r="C74" s="343" t="s">
        <v>336</v>
      </c>
      <c r="D74" s="345"/>
      <c r="E74" s="343" t="s">
        <v>337</v>
      </c>
      <c r="F74" s="345"/>
      <c r="G74" s="343" t="s">
        <v>14</v>
      </c>
      <c r="H74" s="345"/>
      <c r="I74" s="343" t="s">
        <v>336</v>
      </c>
      <c r="J74" s="345"/>
      <c r="K74" s="343" t="s">
        <v>337</v>
      </c>
      <c r="L74" s="345"/>
      <c r="M74" s="343" t="s">
        <v>14</v>
      </c>
      <c r="N74" s="345"/>
      <c r="O74" s="343" t="s">
        <v>336</v>
      </c>
      <c r="P74" s="345"/>
      <c r="Q74" s="343" t="s">
        <v>337</v>
      </c>
      <c r="R74" s="345"/>
      <c r="S74" s="343" t="s">
        <v>14</v>
      </c>
      <c r="T74" s="345"/>
      <c r="U74" s="343" t="s">
        <v>336</v>
      </c>
      <c r="V74" s="345"/>
      <c r="W74" s="343" t="s">
        <v>337</v>
      </c>
      <c r="X74" s="345"/>
      <c r="Y74" s="343" t="s">
        <v>14</v>
      </c>
      <c r="Z74" s="345"/>
      <c r="AA74" s="343" t="s">
        <v>336</v>
      </c>
      <c r="AB74" s="345"/>
      <c r="AC74" s="343" t="s">
        <v>337</v>
      </c>
      <c r="AD74" s="345"/>
      <c r="AE74" s="343" t="s">
        <v>14</v>
      </c>
      <c r="AF74" s="345"/>
      <c r="AG74" s="343" t="s">
        <v>336</v>
      </c>
      <c r="AH74" s="345"/>
      <c r="AI74" s="343" t="s">
        <v>337</v>
      </c>
      <c r="AJ74" s="345"/>
      <c r="AK74" s="343" t="s">
        <v>14</v>
      </c>
      <c r="AL74" s="345"/>
    </row>
    <row r="75" spans="1:38" ht="63">
      <c r="A75" s="342"/>
      <c r="B75" s="342"/>
      <c r="C75" s="167" t="s">
        <v>338</v>
      </c>
      <c r="D75" s="167" t="s">
        <v>339</v>
      </c>
      <c r="E75" s="167" t="s">
        <v>338</v>
      </c>
      <c r="F75" s="167" t="s">
        <v>339</v>
      </c>
      <c r="G75" s="167" t="s">
        <v>338</v>
      </c>
      <c r="H75" s="167" t="s">
        <v>339</v>
      </c>
      <c r="I75" s="167" t="s">
        <v>338</v>
      </c>
      <c r="J75" s="167" t="s">
        <v>339</v>
      </c>
      <c r="K75" s="167" t="s">
        <v>338</v>
      </c>
      <c r="L75" s="167" t="s">
        <v>339</v>
      </c>
      <c r="M75" s="167" t="s">
        <v>338</v>
      </c>
      <c r="N75" s="167" t="s">
        <v>339</v>
      </c>
      <c r="O75" s="167" t="s">
        <v>338</v>
      </c>
      <c r="P75" s="167" t="s">
        <v>339</v>
      </c>
      <c r="Q75" s="167" t="s">
        <v>338</v>
      </c>
      <c r="R75" s="167" t="s">
        <v>339</v>
      </c>
      <c r="S75" s="167" t="s">
        <v>338</v>
      </c>
      <c r="T75" s="167" t="s">
        <v>339</v>
      </c>
      <c r="U75" s="168" t="s">
        <v>338</v>
      </c>
      <c r="V75" s="168" t="s">
        <v>339</v>
      </c>
      <c r="W75" s="168" t="s">
        <v>338</v>
      </c>
      <c r="X75" s="168" t="s">
        <v>339</v>
      </c>
      <c r="Y75" s="168" t="s">
        <v>338</v>
      </c>
      <c r="Z75" s="168" t="s">
        <v>339</v>
      </c>
      <c r="AA75" s="168" t="s">
        <v>338</v>
      </c>
      <c r="AB75" s="168" t="s">
        <v>339</v>
      </c>
      <c r="AC75" s="168" t="s">
        <v>338</v>
      </c>
      <c r="AD75" s="168" t="s">
        <v>339</v>
      </c>
      <c r="AE75" s="168" t="s">
        <v>338</v>
      </c>
      <c r="AF75" s="168" t="s">
        <v>339</v>
      </c>
      <c r="AG75" s="168" t="s">
        <v>338</v>
      </c>
      <c r="AH75" s="168" t="s">
        <v>339</v>
      </c>
      <c r="AI75" s="168" t="s">
        <v>338</v>
      </c>
      <c r="AJ75" s="168" t="s">
        <v>339</v>
      </c>
      <c r="AK75" s="168" t="s">
        <v>338</v>
      </c>
      <c r="AL75" s="168" t="s">
        <v>339</v>
      </c>
    </row>
    <row r="76" spans="1:38" s="355" customFormat="1" ht="21">
      <c r="A76" s="351">
        <v>1</v>
      </c>
      <c r="B76" s="352" t="s">
        <v>375</v>
      </c>
      <c r="C76" s="353"/>
      <c r="D76" s="353"/>
      <c r="E76" s="353"/>
      <c r="F76" s="353"/>
      <c r="G76" s="353">
        <v>0</v>
      </c>
      <c r="H76" s="353">
        <v>0</v>
      </c>
      <c r="I76" s="353">
        <v>91</v>
      </c>
      <c r="J76" s="353">
        <v>87.44</v>
      </c>
      <c r="K76" s="353"/>
      <c r="L76" s="353"/>
      <c r="M76" s="353">
        <v>91</v>
      </c>
      <c r="N76" s="353">
        <v>87.44</v>
      </c>
      <c r="O76" s="353"/>
      <c r="P76" s="353"/>
      <c r="Q76" s="353"/>
      <c r="R76" s="353"/>
      <c r="S76" s="353">
        <v>0</v>
      </c>
      <c r="T76" s="353">
        <v>0</v>
      </c>
      <c r="U76" s="354"/>
      <c r="V76" s="354"/>
      <c r="W76" s="354"/>
      <c r="X76" s="354"/>
      <c r="Y76" s="354">
        <v>0</v>
      </c>
      <c r="Z76" s="354">
        <v>0</v>
      </c>
      <c r="AA76" s="354">
        <v>91</v>
      </c>
      <c r="AB76" s="354">
        <v>73.42</v>
      </c>
      <c r="AC76" s="354"/>
      <c r="AD76" s="354"/>
      <c r="AE76" s="354">
        <v>91</v>
      </c>
      <c r="AF76" s="354">
        <v>73.42</v>
      </c>
      <c r="AG76" s="354"/>
      <c r="AH76" s="354"/>
      <c r="AI76" s="354"/>
      <c r="AJ76" s="354"/>
      <c r="AK76" s="354">
        <v>0</v>
      </c>
      <c r="AL76" s="354">
        <v>0</v>
      </c>
    </row>
    <row r="77" spans="1:38" s="355" customFormat="1" ht="21">
      <c r="A77" s="351">
        <v>2</v>
      </c>
      <c r="B77" s="352" t="s">
        <v>376</v>
      </c>
      <c r="C77" s="353"/>
      <c r="D77" s="353"/>
      <c r="E77" s="353"/>
      <c r="F77" s="353"/>
      <c r="G77" s="353">
        <v>0</v>
      </c>
      <c r="H77" s="353">
        <v>0</v>
      </c>
      <c r="I77" s="353">
        <v>20</v>
      </c>
      <c r="J77" s="353">
        <v>8.53</v>
      </c>
      <c r="K77" s="353"/>
      <c r="L77" s="353"/>
      <c r="M77" s="353">
        <v>20</v>
      </c>
      <c r="N77" s="353">
        <v>8.53</v>
      </c>
      <c r="O77" s="353"/>
      <c r="P77" s="353"/>
      <c r="Q77" s="353"/>
      <c r="R77" s="353"/>
      <c r="S77" s="353">
        <v>0</v>
      </c>
      <c r="T77" s="353">
        <v>0</v>
      </c>
      <c r="U77" s="354"/>
      <c r="V77" s="354"/>
      <c r="W77" s="354"/>
      <c r="X77" s="354"/>
      <c r="Y77" s="354">
        <v>0</v>
      </c>
      <c r="Z77" s="354">
        <v>0</v>
      </c>
      <c r="AA77" s="354">
        <v>20</v>
      </c>
      <c r="AB77" s="354">
        <v>15.72</v>
      </c>
      <c r="AC77" s="354"/>
      <c r="AD77" s="354"/>
      <c r="AE77" s="354">
        <v>20</v>
      </c>
      <c r="AF77" s="354">
        <v>15.72</v>
      </c>
      <c r="AG77" s="354"/>
      <c r="AH77" s="354"/>
      <c r="AI77" s="354"/>
      <c r="AJ77" s="354"/>
      <c r="AK77" s="354">
        <v>0</v>
      </c>
      <c r="AL77" s="354">
        <v>0</v>
      </c>
    </row>
    <row r="78" spans="1:38" s="355" customFormat="1" ht="21">
      <c r="A78" s="351">
        <v>3</v>
      </c>
      <c r="B78" s="352" t="s">
        <v>377</v>
      </c>
      <c r="C78" s="353"/>
      <c r="D78" s="353"/>
      <c r="E78" s="353"/>
      <c r="F78" s="353"/>
      <c r="G78" s="353">
        <v>0</v>
      </c>
      <c r="H78" s="353">
        <v>0</v>
      </c>
      <c r="I78" s="353">
        <v>13</v>
      </c>
      <c r="J78" s="353">
        <v>13.86</v>
      </c>
      <c r="K78" s="353"/>
      <c r="L78" s="353"/>
      <c r="M78" s="353">
        <v>13</v>
      </c>
      <c r="N78" s="353">
        <v>13.86</v>
      </c>
      <c r="O78" s="353"/>
      <c r="P78" s="353"/>
      <c r="Q78" s="353"/>
      <c r="R78" s="353"/>
      <c r="S78" s="353">
        <v>0</v>
      </c>
      <c r="T78" s="353">
        <v>0</v>
      </c>
      <c r="U78" s="354"/>
      <c r="V78" s="354"/>
      <c r="W78" s="354"/>
      <c r="X78" s="354"/>
      <c r="Y78" s="354">
        <v>0</v>
      </c>
      <c r="Z78" s="354">
        <v>0</v>
      </c>
      <c r="AA78" s="354">
        <v>13</v>
      </c>
      <c r="AB78" s="354">
        <v>9.33</v>
      </c>
      <c r="AC78" s="354"/>
      <c r="AD78" s="354"/>
      <c r="AE78" s="354">
        <v>13</v>
      </c>
      <c r="AF78" s="354">
        <v>9.33</v>
      </c>
      <c r="AG78" s="354"/>
      <c r="AH78" s="354"/>
      <c r="AI78" s="354"/>
      <c r="AJ78" s="354"/>
      <c r="AK78" s="354">
        <v>0</v>
      </c>
      <c r="AL78" s="354">
        <v>0</v>
      </c>
    </row>
    <row r="79" spans="1:38" ht="21">
      <c r="A79" s="346" t="s">
        <v>14</v>
      </c>
      <c r="B79" s="347"/>
      <c r="C79" s="167">
        <f>SUM(C76:C78)</f>
        <v>0</v>
      </c>
      <c r="D79" s="167">
        <f aca="true" t="shared" si="14" ref="D79:T79">SUM(D76:D78)</f>
        <v>0</v>
      </c>
      <c r="E79" s="167">
        <f t="shared" si="14"/>
        <v>0</v>
      </c>
      <c r="F79" s="167">
        <f t="shared" si="14"/>
        <v>0</v>
      </c>
      <c r="G79" s="167">
        <f t="shared" si="14"/>
        <v>0</v>
      </c>
      <c r="H79" s="167">
        <f t="shared" si="14"/>
        <v>0</v>
      </c>
      <c r="I79" s="167">
        <f t="shared" si="14"/>
        <v>124</v>
      </c>
      <c r="J79" s="167">
        <f t="shared" si="14"/>
        <v>109.83</v>
      </c>
      <c r="K79" s="167">
        <f t="shared" si="14"/>
        <v>0</v>
      </c>
      <c r="L79" s="167">
        <f t="shared" si="14"/>
        <v>0</v>
      </c>
      <c r="M79" s="167">
        <f t="shared" si="14"/>
        <v>124</v>
      </c>
      <c r="N79" s="167">
        <f t="shared" si="14"/>
        <v>109.83</v>
      </c>
      <c r="O79" s="167">
        <f t="shared" si="14"/>
        <v>0</v>
      </c>
      <c r="P79" s="167">
        <f t="shared" si="14"/>
        <v>0</v>
      </c>
      <c r="Q79" s="167">
        <f t="shared" si="14"/>
        <v>0</v>
      </c>
      <c r="R79" s="167">
        <f t="shared" si="14"/>
        <v>0</v>
      </c>
      <c r="S79" s="167">
        <f t="shared" si="14"/>
        <v>0</v>
      </c>
      <c r="T79" s="167">
        <f t="shared" si="14"/>
        <v>0</v>
      </c>
      <c r="U79" s="168">
        <f>+U76+U77+U78</f>
        <v>0</v>
      </c>
      <c r="V79" s="168">
        <f aca="true" t="shared" si="15" ref="V79:AL79">+V76+V77+V78</f>
        <v>0</v>
      </c>
      <c r="W79" s="168">
        <f t="shared" si="15"/>
        <v>0</v>
      </c>
      <c r="X79" s="168">
        <f t="shared" si="15"/>
        <v>0</v>
      </c>
      <c r="Y79" s="168">
        <f t="shared" si="15"/>
        <v>0</v>
      </c>
      <c r="Z79" s="168">
        <f t="shared" si="15"/>
        <v>0</v>
      </c>
      <c r="AA79" s="168">
        <f t="shared" si="15"/>
        <v>124</v>
      </c>
      <c r="AB79" s="168">
        <f t="shared" si="15"/>
        <v>98.47</v>
      </c>
      <c r="AC79" s="168">
        <f t="shared" si="15"/>
        <v>0</v>
      </c>
      <c r="AD79" s="168">
        <f t="shared" si="15"/>
        <v>0</v>
      </c>
      <c r="AE79" s="168">
        <f t="shared" si="15"/>
        <v>124</v>
      </c>
      <c r="AF79" s="168">
        <f t="shared" si="15"/>
        <v>98.47</v>
      </c>
      <c r="AG79" s="168">
        <f t="shared" si="15"/>
        <v>0</v>
      </c>
      <c r="AH79" s="168">
        <f t="shared" si="15"/>
        <v>0</v>
      </c>
      <c r="AI79" s="168">
        <f t="shared" si="15"/>
        <v>0</v>
      </c>
      <c r="AJ79" s="168">
        <f t="shared" si="15"/>
        <v>0</v>
      </c>
      <c r="AK79" s="168">
        <f t="shared" si="15"/>
        <v>0</v>
      </c>
      <c r="AL79" s="168">
        <f t="shared" si="15"/>
        <v>0</v>
      </c>
    </row>
    <row r="80" spans="1:38" ht="21">
      <c r="A80" s="337" t="s">
        <v>328</v>
      </c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9"/>
    </row>
    <row r="81" spans="1:38" ht="21">
      <c r="A81" s="337" t="s">
        <v>378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9"/>
    </row>
    <row r="82" spans="1:38" ht="21">
      <c r="A82" s="340" t="s">
        <v>330</v>
      </c>
      <c r="B82" s="340" t="s">
        <v>331</v>
      </c>
      <c r="C82" s="343" t="s">
        <v>332</v>
      </c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5"/>
      <c r="U82" s="343" t="s">
        <v>333</v>
      </c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5"/>
    </row>
    <row r="83" spans="1:38" ht="21">
      <c r="A83" s="341"/>
      <c r="B83" s="341"/>
      <c r="C83" s="343" t="s">
        <v>195</v>
      </c>
      <c r="D83" s="344"/>
      <c r="E83" s="344"/>
      <c r="F83" s="344"/>
      <c r="G83" s="344"/>
      <c r="H83" s="345"/>
      <c r="I83" s="343" t="s">
        <v>334</v>
      </c>
      <c r="J83" s="344"/>
      <c r="K83" s="344"/>
      <c r="L83" s="344"/>
      <c r="M83" s="344"/>
      <c r="N83" s="345"/>
      <c r="O83" s="343" t="s">
        <v>335</v>
      </c>
      <c r="P83" s="344"/>
      <c r="Q83" s="344"/>
      <c r="R83" s="344"/>
      <c r="S83" s="344"/>
      <c r="T83" s="345"/>
      <c r="U83" s="343" t="s">
        <v>195</v>
      </c>
      <c r="V83" s="344"/>
      <c r="W83" s="344"/>
      <c r="X83" s="344"/>
      <c r="Y83" s="344"/>
      <c r="Z83" s="345"/>
      <c r="AA83" s="343" t="s">
        <v>334</v>
      </c>
      <c r="AB83" s="344"/>
      <c r="AC83" s="344"/>
      <c r="AD83" s="344"/>
      <c r="AE83" s="344"/>
      <c r="AF83" s="345"/>
      <c r="AG83" s="343" t="s">
        <v>335</v>
      </c>
      <c r="AH83" s="344"/>
      <c r="AI83" s="344"/>
      <c r="AJ83" s="344"/>
      <c r="AK83" s="344"/>
      <c r="AL83" s="345"/>
    </row>
    <row r="84" spans="1:38" ht="21">
      <c r="A84" s="341"/>
      <c r="B84" s="341"/>
      <c r="C84" s="343" t="s">
        <v>336</v>
      </c>
      <c r="D84" s="345"/>
      <c r="E84" s="343" t="s">
        <v>337</v>
      </c>
      <c r="F84" s="345"/>
      <c r="G84" s="343" t="s">
        <v>14</v>
      </c>
      <c r="H84" s="345"/>
      <c r="I84" s="343" t="s">
        <v>336</v>
      </c>
      <c r="J84" s="345"/>
      <c r="K84" s="343" t="s">
        <v>337</v>
      </c>
      <c r="L84" s="345"/>
      <c r="M84" s="343" t="s">
        <v>14</v>
      </c>
      <c r="N84" s="345"/>
      <c r="O84" s="343" t="s">
        <v>336</v>
      </c>
      <c r="P84" s="345"/>
      <c r="Q84" s="343" t="s">
        <v>337</v>
      </c>
      <c r="R84" s="345"/>
      <c r="S84" s="343" t="s">
        <v>14</v>
      </c>
      <c r="T84" s="345"/>
      <c r="U84" s="343" t="s">
        <v>336</v>
      </c>
      <c r="V84" s="345"/>
      <c r="W84" s="343" t="s">
        <v>337</v>
      </c>
      <c r="X84" s="345"/>
      <c r="Y84" s="343" t="s">
        <v>14</v>
      </c>
      <c r="Z84" s="345"/>
      <c r="AA84" s="343" t="s">
        <v>336</v>
      </c>
      <c r="AB84" s="345"/>
      <c r="AC84" s="343" t="s">
        <v>337</v>
      </c>
      <c r="AD84" s="345"/>
      <c r="AE84" s="343" t="s">
        <v>14</v>
      </c>
      <c r="AF84" s="345"/>
      <c r="AG84" s="343" t="s">
        <v>336</v>
      </c>
      <c r="AH84" s="345"/>
      <c r="AI84" s="343" t="s">
        <v>337</v>
      </c>
      <c r="AJ84" s="345"/>
      <c r="AK84" s="343" t="s">
        <v>14</v>
      </c>
      <c r="AL84" s="345"/>
    </row>
    <row r="85" spans="1:38" ht="63">
      <c r="A85" s="342"/>
      <c r="B85" s="342"/>
      <c r="C85" s="167" t="s">
        <v>338</v>
      </c>
      <c r="D85" s="167" t="s">
        <v>339</v>
      </c>
      <c r="E85" s="167" t="s">
        <v>338</v>
      </c>
      <c r="F85" s="167" t="s">
        <v>339</v>
      </c>
      <c r="G85" s="167" t="s">
        <v>338</v>
      </c>
      <c r="H85" s="167" t="s">
        <v>339</v>
      </c>
      <c r="I85" s="167" t="s">
        <v>338</v>
      </c>
      <c r="J85" s="167" t="s">
        <v>339</v>
      </c>
      <c r="K85" s="167" t="s">
        <v>338</v>
      </c>
      <c r="L85" s="167" t="s">
        <v>339</v>
      </c>
      <c r="M85" s="167" t="s">
        <v>338</v>
      </c>
      <c r="N85" s="167" t="s">
        <v>339</v>
      </c>
      <c r="O85" s="167" t="s">
        <v>338</v>
      </c>
      <c r="P85" s="167" t="s">
        <v>339</v>
      </c>
      <c r="Q85" s="167" t="s">
        <v>338</v>
      </c>
      <c r="R85" s="167" t="s">
        <v>339</v>
      </c>
      <c r="S85" s="167" t="s">
        <v>338</v>
      </c>
      <c r="T85" s="167" t="s">
        <v>339</v>
      </c>
      <c r="U85" s="168" t="s">
        <v>338</v>
      </c>
      <c r="V85" s="168" t="s">
        <v>339</v>
      </c>
      <c r="W85" s="168" t="s">
        <v>338</v>
      </c>
      <c r="X85" s="168" t="s">
        <v>339</v>
      </c>
      <c r="Y85" s="168" t="s">
        <v>338</v>
      </c>
      <c r="Z85" s="168" t="s">
        <v>339</v>
      </c>
      <c r="AA85" s="168" t="s">
        <v>338</v>
      </c>
      <c r="AB85" s="168" t="s">
        <v>339</v>
      </c>
      <c r="AC85" s="168" t="s">
        <v>338</v>
      </c>
      <c r="AD85" s="168" t="s">
        <v>339</v>
      </c>
      <c r="AE85" s="168" t="s">
        <v>338</v>
      </c>
      <c r="AF85" s="168" t="s">
        <v>339</v>
      </c>
      <c r="AG85" s="168" t="s">
        <v>338</v>
      </c>
      <c r="AH85" s="168" t="s">
        <v>339</v>
      </c>
      <c r="AI85" s="168" t="s">
        <v>338</v>
      </c>
      <c r="AJ85" s="168" t="s">
        <v>339</v>
      </c>
      <c r="AK85" s="168" t="s">
        <v>338</v>
      </c>
      <c r="AL85" s="168" t="s">
        <v>339</v>
      </c>
    </row>
    <row r="86" spans="1:38" ht="21">
      <c r="A86" s="165">
        <v>1</v>
      </c>
      <c r="B86" s="166" t="s">
        <v>353</v>
      </c>
      <c r="C86" s="167"/>
      <c r="D86" s="167"/>
      <c r="E86" s="167"/>
      <c r="F86" s="167"/>
      <c r="G86" s="167">
        <v>0</v>
      </c>
      <c r="H86" s="167">
        <v>0</v>
      </c>
      <c r="I86" s="167">
        <v>65</v>
      </c>
      <c r="J86" s="167">
        <v>58.86</v>
      </c>
      <c r="K86" s="167"/>
      <c r="L86" s="167"/>
      <c r="M86" s="167">
        <v>65</v>
      </c>
      <c r="N86" s="167">
        <v>58.86</v>
      </c>
      <c r="O86" s="167"/>
      <c r="P86" s="167"/>
      <c r="Q86" s="167"/>
      <c r="R86" s="167"/>
      <c r="S86" s="167">
        <v>0</v>
      </c>
      <c r="T86" s="167">
        <v>0</v>
      </c>
      <c r="U86" s="168"/>
      <c r="V86" s="168"/>
      <c r="W86" s="168"/>
      <c r="X86" s="168"/>
      <c r="Y86" s="168">
        <v>0</v>
      </c>
      <c r="Z86" s="168">
        <v>0</v>
      </c>
      <c r="AA86" s="168">
        <v>66</v>
      </c>
      <c r="AB86" s="168">
        <v>52</v>
      </c>
      <c r="AC86" s="168"/>
      <c r="AD86" s="168"/>
      <c r="AE86" s="168">
        <v>66</v>
      </c>
      <c r="AF86" s="168">
        <v>52</v>
      </c>
      <c r="AG86" s="168"/>
      <c r="AH86" s="168"/>
      <c r="AI86" s="168"/>
      <c r="AJ86" s="168"/>
      <c r="AK86" s="168">
        <v>0</v>
      </c>
      <c r="AL86" s="168">
        <v>0</v>
      </c>
    </row>
    <row r="87" spans="1:38" ht="21">
      <c r="A87" s="165">
        <v>2</v>
      </c>
      <c r="B87" s="166" t="s">
        <v>355</v>
      </c>
      <c r="C87" s="167"/>
      <c r="D87" s="167"/>
      <c r="E87" s="167"/>
      <c r="F87" s="167"/>
      <c r="G87" s="167">
        <v>0</v>
      </c>
      <c r="H87" s="167">
        <v>0</v>
      </c>
      <c r="I87" s="167">
        <v>138</v>
      </c>
      <c r="J87" s="167">
        <v>128.14</v>
      </c>
      <c r="K87" s="167"/>
      <c r="L87" s="167"/>
      <c r="M87" s="167">
        <v>138</v>
      </c>
      <c r="N87" s="167">
        <v>128.14</v>
      </c>
      <c r="O87" s="167"/>
      <c r="P87" s="167"/>
      <c r="Q87" s="167"/>
      <c r="R87" s="167"/>
      <c r="S87" s="167">
        <v>0</v>
      </c>
      <c r="T87" s="167">
        <v>0</v>
      </c>
      <c r="U87" s="168"/>
      <c r="V87" s="168"/>
      <c r="W87" s="168"/>
      <c r="X87" s="168"/>
      <c r="Y87" s="168">
        <v>0</v>
      </c>
      <c r="Z87" s="168">
        <v>0</v>
      </c>
      <c r="AA87" s="168">
        <v>138</v>
      </c>
      <c r="AB87" s="168">
        <v>111.44</v>
      </c>
      <c r="AC87" s="168"/>
      <c r="AD87" s="168"/>
      <c r="AE87" s="168">
        <v>138</v>
      </c>
      <c r="AF87" s="168">
        <v>111.44</v>
      </c>
      <c r="AG87" s="168"/>
      <c r="AH87" s="168"/>
      <c r="AI87" s="168"/>
      <c r="AJ87" s="168"/>
      <c r="AK87" s="168">
        <v>0</v>
      </c>
      <c r="AL87" s="168">
        <v>0</v>
      </c>
    </row>
    <row r="88" spans="1:38" ht="21">
      <c r="A88" s="165">
        <v>3</v>
      </c>
      <c r="B88" s="166" t="s">
        <v>357</v>
      </c>
      <c r="C88" s="167"/>
      <c r="D88" s="167"/>
      <c r="E88" s="167"/>
      <c r="F88" s="167"/>
      <c r="G88" s="167">
        <v>0</v>
      </c>
      <c r="H88" s="167">
        <v>0</v>
      </c>
      <c r="I88" s="167"/>
      <c r="J88" s="167"/>
      <c r="K88" s="167"/>
      <c r="L88" s="167"/>
      <c r="M88" s="167">
        <v>0</v>
      </c>
      <c r="N88" s="167">
        <v>0</v>
      </c>
      <c r="O88" s="167">
        <v>3</v>
      </c>
      <c r="P88" s="167">
        <v>2.61</v>
      </c>
      <c r="Q88" s="167"/>
      <c r="R88" s="167"/>
      <c r="S88" s="167">
        <v>3</v>
      </c>
      <c r="T88" s="167">
        <v>2.61</v>
      </c>
      <c r="U88" s="168"/>
      <c r="V88" s="168"/>
      <c r="W88" s="168"/>
      <c r="X88" s="168"/>
      <c r="Y88" s="168">
        <v>0</v>
      </c>
      <c r="Z88" s="168">
        <v>0</v>
      </c>
      <c r="AA88" s="168"/>
      <c r="AB88" s="168"/>
      <c r="AC88" s="168"/>
      <c r="AD88" s="168"/>
      <c r="AE88" s="168">
        <v>0</v>
      </c>
      <c r="AF88" s="168">
        <v>0</v>
      </c>
      <c r="AG88" s="168">
        <v>4</v>
      </c>
      <c r="AH88" s="168">
        <v>2.72</v>
      </c>
      <c r="AI88" s="168"/>
      <c r="AJ88" s="168"/>
      <c r="AK88" s="168">
        <v>4</v>
      </c>
      <c r="AL88" s="168">
        <v>2.72</v>
      </c>
    </row>
    <row r="89" spans="1:38" ht="21">
      <c r="A89" s="346" t="s">
        <v>14</v>
      </c>
      <c r="B89" s="347"/>
      <c r="C89" s="167">
        <f>SUM(C86:C88)</f>
        <v>0</v>
      </c>
      <c r="D89" s="167">
        <f aca="true" t="shared" si="16" ref="D89:T89">SUM(D86:D88)</f>
        <v>0</v>
      </c>
      <c r="E89" s="167">
        <f t="shared" si="16"/>
        <v>0</v>
      </c>
      <c r="F89" s="167">
        <f t="shared" si="16"/>
        <v>0</v>
      </c>
      <c r="G89" s="167">
        <f t="shared" si="16"/>
        <v>0</v>
      </c>
      <c r="H89" s="167">
        <f t="shared" si="16"/>
        <v>0</v>
      </c>
      <c r="I89" s="167">
        <f t="shared" si="16"/>
        <v>203</v>
      </c>
      <c r="J89" s="167">
        <f t="shared" si="16"/>
        <v>187</v>
      </c>
      <c r="K89" s="167">
        <f t="shared" si="16"/>
        <v>0</v>
      </c>
      <c r="L89" s="167">
        <f t="shared" si="16"/>
        <v>0</v>
      </c>
      <c r="M89" s="167">
        <f t="shared" si="16"/>
        <v>203</v>
      </c>
      <c r="N89" s="167">
        <f t="shared" si="16"/>
        <v>187</v>
      </c>
      <c r="O89" s="167">
        <f t="shared" si="16"/>
        <v>3</v>
      </c>
      <c r="P89" s="167">
        <f t="shared" si="16"/>
        <v>2.61</v>
      </c>
      <c r="Q89" s="167">
        <f t="shared" si="16"/>
        <v>0</v>
      </c>
      <c r="R89" s="167">
        <f t="shared" si="16"/>
        <v>0</v>
      </c>
      <c r="S89" s="167">
        <f t="shared" si="16"/>
        <v>3</v>
      </c>
      <c r="T89" s="167">
        <f t="shared" si="16"/>
        <v>2.61</v>
      </c>
      <c r="U89" s="168">
        <f>+U86+U87+U88</f>
        <v>0</v>
      </c>
      <c r="V89" s="168">
        <f aca="true" t="shared" si="17" ref="V89:AL89">+V86+V87+V88</f>
        <v>0</v>
      </c>
      <c r="W89" s="168">
        <f t="shared" si="17"/>
        <v>0</v>
      </c>
      <c r="X89" s="168">
        <f t="shared" si="17"/>
        <v>0</v>
      </c>
      <c r="Y89" s="168">
        <f t="shared" si="17"/>
        <v>0</v>
      </c>
      <c r="Z89" s="168">
        <f t="shared" si="17"/>
        <v>0</v>
      </c>
      <c r="AA89" s="168">
        <f t="shared" si="17"/>
        <v>204</v>
      </c>
      <c r="AB89" s="168">
        <f t="shared" si="17"/>
        <v>163.44</v>
      </c>
      <c r="AC89" s="168">
        <f t="shared" si="17"/>
        <v>0</v>
      </c>
      <c r="AD89" s="168">
        <f t="shared" si="17"/>
        <v>0</v>
      </c>
      <c r="AE89" s="168">
        <f t="shared" si="17"/>
        <v>204</v>
      </c>
      <c r="AF89" s="168">
        <f t="shared" si="17"/>
        <v>163.44</v>
      </c>
      <c r="AG89" s="168">
        <f t="shared" si="17"/>
        <v>4</v>
      </c>
      <c r="AH89" s="168">
        <f t="shared" si="17"/>
        <v>2.72</v>
      </c>
      <c r="AI89" s="168">
        <f t="shared" si="17"/>
        <v>0</v>
      </c>
      <c r="AJ89" s="168">
        <f t="shared" si="17"/>
        <v>0</v>
      </c>
      <c r="AK89" s="168">
        <f t="shared" si="17"/>
        <v>4</v>
      </c>
      <c r="AL89" s="168">
        <f t="shared" si="17"/>
        <v>2.72</v>
      </c>
    </row>
    <row r="90" spans="1:38" ht="21">
      <c r="A90" s="337" t="s">
        <v>328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9"/>
    </row>
    <row r="91" spans="1:38" ht="21">
      <c r="A91" s="337" t="s">
        <v>379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9"/>
    </row>
    <row r="92" spans="1:38" ht="21">
      <c r="A92" s="340" t="s">
        <v>330</v>
      </c>
      <c r="B92" s="340" t="s">
        <v>331</v>
      </c>
      <c r="C92" s="343" t="s">
        <v>332</v>
      </c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5"/>
      <c r="U92" s="343" t="s">
        <v>333</v>
      </c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5"/>
    </row>
    <row r="93" spans="1:38" ht="21">
      <c r="A93" s="341"/>
      <c r="B93" s="341"/>
      <c r="C93" s="343" t="s">
        <v>195</v>
      </c>
      <c r="D93" s="344"/>
      <c r="E93" s="344"/>
      <c r="F93" s="344"/>
      <c r="G93" s="344"/>
      <c r="H93" s="345"/>
      <c r="I93" s="343" t="s">
        <v>334</v>
      </c>
      <c r="J93" s="344"/>
      <c r="K93" s="344"/>
      <c r="L93" s="344"/>
      <c r="M93" s="344"/>
      <c r="N93" s="345"/>
      <c r="O93" s="343" t="s">
        <v>335</v>
      </c>
      <c r="P93" s="344"/>
      <c r="Q93" s="344"/>
      <c r="R93" s="344"/>
      <c r="S93" s="344"/>
      <c r="T93" s="345"/>
      <c r="U93" s="343" t="s">
        <v>195</v>
      </c>
      <c r="V93" s="344"/>
      <c r="W93" s="344"/>
      <c r="X93" s="344"/>
      <c r="Y93" s="344"/>
      <c r="Z93" s="345"/>
      <c r="AA93" s="343" t="s">
        <v>334</v>
      </c>
      <c r="AB93" s="344"/>
      <c r="AC93" s="344"/>
      <c r="AD93" s="344"/>
      <c r="AE93" s="344"/>
      <c r="AF93" s="345"/>
      <c r="AG93" s="343" t="s">
        <v>335</v>
      </c>
      <c r="AH93" s="344"/>
      <c r="AI93" s="344"/>
      <c r="AJ93" s="344"/>
      <c r="AK93" s="344"/>
      <c r="AL93" s="345"/>
    </row>
    <row r="94" spans="1:38" ht="21">
      <c r="A94" s="341"/>
      <c r="B94" s="341"/>
      <c r="C94" s="343" t="s">
        <v>336</v>
      </c>
      <c r="D94" s="345"/>
      <c r="E94" s="343" t="s">
        <v>337</v>
      </c>
      <c r="F94" s="345"/>
      <c r="G94" s="343" t="s">
        <v>14</v>
      </c>
      <c r="H94" s="345"/>
      <c r="I94" s="343" t="s">
        <v>336</v>
      </c>
      <c r="J94" s="345"/>
      <c r="K94" s="343" t="s">
        <v>337</v>
      </c>
      <c r="L94" s="345"/>
      <c r="M94" s="343" t="s">
        <v>14</v>
      </c>
      <c r="N94" s="345"/>
      <c r="O94" s="343" t="s">
        <v>336</v>
      </c>
      <c r="P94" s="345"/>
      <c r="Q94" s="343" t="s">
        <v>337</v>
      </c>
      <c r="R94" s="345"/>
      <c r="S94" s="343" t="s">
        <v>14</v>
      </c>
      <c r="T94" s="345"/>
      <c r="U94" s="343" t="s">
        <v>336</v>
      </c>
      <c r="V94" s="345"/>
      <c r="W94" s="343" t="s">
        <v>337</v>
      </c>
      <c r="X94" s="345"/>
      <c r="Y94" s="343" t="s">
        <v>14</v>
      </c>
      <c r="Z94" s="345"/>
      <c r="AA94" s="343" t="s">
        <v>336</v>
      </c>
      <c r="AB94" s="345"/>
      <c r="AC94" s="343" t="s">
        <v>337</v>
      </c>
      <c r="AD94" s="345"/>
      <c r="AE94" s="343" t="s">
        <v>14</v>
      </c>
      <c r="AF94" s="345"/>
      <c r="AG94" s="343" t="s">
        <v>336</v>
      </c>
      <c r="AH94" s="345"/>
      <c r="AI94" s="343" t="s">
        <v>337</v>
      </c>
      <c r="AJ94" s="345"/>
      <c r="AK94" s="343" t="s">
        <v>14</v>
      </c>
      <c r="AL94" s="345"/>
    </row>
    <row r="95" spans="1:38" ht="63">
      <c r="A95" s="342"/>
      <c r="B95" s="342"/>
      <c r="C95" s="167" t="s">
        <v>338</v>
      </c>
      <c r="D95" s="167" t="s">
        <v>339</v>
      </c>
      <c r="E95" s="167" t="s">
        <v>338</v>
      </c>
      <c r="F95" s="167" t="s">
        <v>339</v>
      </c>
      <c r="G95" s="167" t="s">
        <v>338</v>
      </c>
      <c r="H95" s="167" t="s">
        <v>339</v>
      </c>
      <c r="I95" s="167" t="s">
        <v>338</v>
      </c>
      <c r="J95" s="167" t="s">
        <v>339</v>
      </c>
      <c r="K95" s="167" t="s">
        <v>338</v>
      </c>
      <c r="L95" s="167" t="s">
        <v>339</v>
      </c>
      <c r="M95" s="167" t="s">
        <v>338</v>
      </c>
      <c r="N95" s="167" t="s">
        <v>339</v>
      </c>
      <c r="O95" s="167" t="s">
        <v>338</v>
      </c>
      <c r="P95" s="167" t="s">
        <v>339</v>
      </c>
      <c r="Q95" s="167" t="s">
        <v>338</v>
      </c>
      <c r="R95" s="167" t="s">
        <v>339</v>
      </c>
      <c r="S95" s="167" t="s">
        <v>338</v>
      </c>
      <c r="T95" s="167" t="s">
        <v>339</v>
      </c>
      <c r="U95" s="168" t="s">
        <v>338</v>
      </c>
      <c r="V95" s="168" t="s">
        <v>339</v>
      </c>
      <c r="W95" s="168" t="s">
        <v>338</v>
      </c>
      <c r="X95" s="168" t="s">
        <v>339</v>
      </c>
      <c r="Y95" s="168" t="s">
        <v>338</v>
      </c>
      <c r="Z95" s="168" t="s">
        <v>339</v>
      </c>
      <c r="AA95" s="168" t="s">
        <v>338</v>
      </c>
      <c r="AB95" s="168" t="s">
        <v>339</v>
      </c>
      <c r="AC95" s="168" t="s">
        <v>338</v>
      </c>
      <c r="AD95" s="168" t="s">
        <v>339</v>
      </c>
      <c r="AE95" s="168" t="s">
        <v>338</v>
      </c>
      <c r="AF95" s="168" t="s">
        <v>339</v>
      </c>
      <c r="AG95" s="168" t="s">
        <v>338</v>
      </c>
      <c r="AH95" s="168" t="s">
        <v>339</v>
      </c>
      <c r="AI95" s="168" t="s">
        <v>338</v>
      </c>
      <c r="AJ95" s="168" t="s">
        <v>339</v>
      </c>
      <c r="AK95" s="168" t="s">
        <v>338</v>
      </c>
      <c r="AL95" s="168" t="s">
        <v>339</v>
      </c>
    </row>
    <row r="96" spans="1:38" ht="21">
      <c r="A96" s="165">
        <v>1</v>
      </c>
      <c r="B96" s="166" t="s">
        <v>362</v>
      </c>
      <c r="C96" s="167"/>
      <c r="D96" s="167"/>
      <c r="E96" s="167"/>
      <c r="F96" s="167"/>
      <c r="G96" s="167">
        <v>0</v>
      </c>
      <c r="H96" s="167">
        <v>0</v>
      </c>
      <c r="I96" s="167">
        <v>96</v>
      </c>
      <c r="J96" s="167">
        <v>94.56</v>
      </c>
      <c r="K96" s="167"/>
      <c r="L96" s="167"/>
      <c r="M96" s="167">
        <v>96</v>
      </c>
      <c r="N96" s="167">
        <v>94.56</v>
      </c>
      <c r="O96" s="167"/>
      <c r="P96" s="167"/>
      <c r="Q96" s="167"/>
      <c r="R96" s="167"/>
      <c r="S96" s="167">
        <v>0</v>
      </c>
      <c r="T96" s="167">
        <v>0</v>
      </c>
      <c r="U96" s="168"/>
      <c r="V96" s="168"/>
      <c r="W96" s="168"/>
      <c r="X96" s="168"/>
      <c r="Y96" s="168">
        <v>0</v>
      </c>
      <c r="Z96" s="168">
        <v>0</v>
      </c>
      <c r="AA96" s="168">
        <v>99</v>
      </c>
      <c r="AB96" s="168">
        <v>84.31</v>
      </c>
      <c r="AC96" s="168"/>
      <c r="AD96" s="168"/>
      <c r="AE96" s="168">
        <v>99</v>
      </c>
      <c r="AF96" s="168">
        <v>84.31</v>
      </c>
      <c r="AG96" s="168"/>
      <c r="AH96" s="168"/>
      <c r="AI96" s="168"/>
      <c r="AJ96" s="168"/>
      <c r="AK96" s="168">
        <v>0</v>
      </c>
      <c r="AL96" s="168">
        <v>0</v>
      </c>
    </row>
    <row r="97" spans="1:38" ht="21">
      <c r="A97" s="165">
        <v>2</v>
      </c>
      <c r="B97" s="166" t="s">
        <v>370</v>
      </c>
      <c r="C97" s="167"/>
      <c r="D97" s="167"/>
      <c r="E97" s="167"/>
      <c r="F97" s="167"/>
      <c r="G97" s="167">
        <v>0</v>
      </c>
      <c r="H97" s="167">
        <v>0</v>
      </c>
      <c r="I97" s="167">
        <v>49</v>
      </c>
      <c r="J97" s="167">
        <v>49.06</v>
      </c>
      <c r="K97" s="167"/>
      <c r="L97" s="167"/>
      <c r="M97" s="167">
        <v>49</v>
      </c>
      <c r="N97" s="167">
        <v>49.06</v>
      </c>
      <c r="O97" s="167"/>
      <c r="P97" s="167"/>
      <c r="Q97" s="167"/>
      <c r="R97" s="167"/>
      <c r="S97" s="167">
        <v>0</v>
      </c>
      <c r="T97" s="167">
        <v>0</v>
      </c>
      <c r="U97" s="168"/>
      <c r="V97" s="168"/>
      <c r="W97" s="168"/>
      <c r="X97" s="168"/>
      <c r="Y97" s="168">
        <v>0</v>
      </c>
      <c r="Z97" s="168">
        <v>0</v>
      </c>
      <c r="AA97" s="168">
        <v>49</v>
      </c>
      <c r="AB97" s="168">
        <v>45.81</v>
      </c>
      <c r="AC97" s="168"/>
      <c r="AD97" s="168"/>
      <c r="AE97" s="168">
        <v>49</v>
      </c>
      <c r="AF97" s="168">
        <v>45.81</v>
      </c>
      <c r="AG97" s="168"/>
      <c r="AH97" s="168"/>
      <c r="AI97" s="168"/>
      <c r="AJ97" s="168"/>
      <c r="AK97" s="168">
        <v>0</v>
      </c>
      <c r="AL97" s="168">
        <v>0</v>
      </c>
    </row>
    <row r="98" spans="1:38" ht="21">
      <c r="A98" s="165">
        <v>3</v>
      </c>
      <c r="B98" s="166" t="s">
        <v>380</v>
      </c>
      <c r="C98" s="167"/>
      <c r="D98" s="167"/>
      <c r="E98" s="167"/>
      <c r="F98" s="167"/>
      <c r="G98" s="167">
        <v>0</v>
      </c>
      <c r="H98" s="167">
        <v>0</v>
      </c>
      <c r="I98" s="167"/>
      <c r="J98" s="167"/>
      <c r="K98" s="167"/>
      <c r="L98" s="167"/>
      <c r="M98" s="167">
        <v>0</v>
      </c>
      <c r="N98" s="167">
        <v>0</v>
      </c>
      <c r="O98" s="167"/>
      <c r="P98" s="167"/>
      <c r="Q98" s="167"/>
      <c r="R98" s="167"/>
      <c r="S98" s="167">
        <v>0</v>
      </c>
      <c r="T98" s="167">
        <v>0</v>
      </c>
      <c r="U98" s="168"/>
      <c r="V98" s="168"/>
      <c r="W98" s="168"/>
      <c r="X98" s="168"/>
      <c r="Y98" s="168">
        <v>0</v>
      </c>
      <c r="Z98" s="168">
        <v>0</v>
      </c>
      <c r="AA98" s="168"/>
      <c r="AB98" s="168"/>
      <c r="AC98" s="168"/>
      <c r="AD98" s="168"/>
      <c r="AE98" s="168">
        <v>0</v>
      </c>
      <c r="AF98" s="168">
        <v>0</v>
      </c>
      <c r="AG98" s="168"/>
      <c r="AH98" s="168"/>
      <c r="AI98" s="168"/>
      <c r="AJ98" s="168"/>
      <c r="AK98" s="168">
        <v>0</v>
      </c>
      <c r="AL98" s="168">
        <v>0</v>
      </c>
    </row>
    <row r="99" spans="1:38" ht="21">
      <c r="A99" s="165">
        <v>4</v>
      </c>
      <c r="B99" s="166" t="s">
        <v>381</v>
      </c>
      <c r="C99" s="167"/>
      <c r="D99" s="167"/>
      <c r="E99" s="167"/>
      <c r="F99" s="167"/>
      <c r="G99" s="167">
        <v>0</v>
      </c>
      <c r="H99" s="167">
        <v>0</v>
      </c>
      <c r="I99" s="167">
        <v>73</v>
      </c>
      <c r="J99" s="167">
        <v>80.19</v>
      </c>
      <c r="K99" s="167"/>
      <c r="L99" s="167"/>
      <c r="M99" s="167">
        <v>73</v>
      </c>
      <c r="N99" s="167">
        <v>80.19</v>
      </c>
      <c r="O99" s="167"/>
      <c r="P99" s="167"/>
      <c r="Q99" s="167"/>
      <c r="R99" s="167"/>
      <c r="S99" s="167">
        <v>0</v>
      </c>
      <c r="T99" s="167">
        <v>0</v>
      </c>
      <c r="U99" s="168"/>
      <c r="V99" s="168"/>
      <c r="W99" s="168"/>
      <c r="X99" s="168"/>
      <c r="Y99" s="168">
        <v>0</v>
      </c>
      <c r="Z99" s="168">
        <v>0</v>
      </c>
      <c r="AA99" s="168">
        <v>74</v>
      </c>
      <c r="AB99" s="168">
        <v>71.44</v>
      </c>
      <c r="AC99" s="168"/>
      <c r="AD99" s="168"/>
      <c r="AE99" s="168">
        <v>74</v>
      </c>
      <c r="AF99" s="168">
        <v>71.44</v>
      </c>
      <c r="AG99" s="168"/>
      <c r="AH99" s="168"/>
      <c r="AI99" s="168"/>
      <c r="AJ99" s="168"/>
      <c r="AK99" s="168">
        <v>0</v>
      </c>
      <c r="AL99" s="168">
        <v>0</v>
      </c>
    </row>
    <row r="100" spans="1:38" ht="21">
      <c r="A100" s="165">
        <v>5</v>
      </c>
      <c r="B100" s="166" t="s">
        <v>382</v>
      </c>
      <c r="C100" s="167"/>
      <c r="D100" s="167"/>
      <c r="E100" s="167"/>
      <c r="F100" s="167"/>
      <c r="G100" s="167">
        <v>0</v>
      </c>
      <c r="H100" s="167">
        <v>0</v>
      </c>
      <c r="I100" s="167">
        <v>14</v>
      </c>
      <c r="J100" s="167">
        <v>3.25</v>
      </c>
      <c r="K100" s="167"/>
      <c r="L100" s="167"/>
      <c r="M100" s="167">
        <v>14</v>
      </c>
      <c r="N100" s="167">
        <v>3.25</v>
      </c>
      <c r="O100" s="167"/>
      <c r="P100" s="167"/>
      <c r="Q100" s="167"/>
      <c r="R100" s="167"/>
      <c r="S100" s="167">
        <v>0</v>
      </c>
      <c r="T100" s="167">
        <v>0</v>
      </c>
      <c r="U100" s="168"/>
      <c r="V100" s="168"/>
      <c r="W100" s="168"/>
      <c r="X100" s="168"/>
      <c r="Y100" s="168">
        <v>0</v>
      </c>
      <c r="Z100" s="168">
        <v>0</v>
      </c>
      <c r="AA100" s="168">
        <v>14</v>
      </c>
      <c r="AB100" s="168">
        <v>5</v>
      </c>
      <c r="AC100" s="168"/>
      <c r="AD100" s="168"/>
      <c r="AE100" s="168">
        <v>14</v>
      </c>
      <c r="AF100" s="168">
        <v>5</v>
      </c>
      <c r="AG100" s="168"/>
      <c r="AH100" s="168"/>
      <c r="AI100" s="168"/>
      <c r="AJ100" s="168"/>
      <c r="AK100" s="168">
        <v>0</v>
      </c>
      <c r="AL100" s="168">
        <v>0</v>
      </c>
    </row>
    <row r="101" spans="1:38" ht="21">
      <c r="A101" s="165">
        <v>6</v>
      </c>
      <c r="B101" s="166" t="s">
        <v>383</v>
      </c>
      <c r="C101" s="167"/>
      <c r="D101" s="167"/>
      <c r="E101" s="167"/>
      <c r="F101" s="167"/>
      <c r="G101" s="167">
        <v>0</v>
      </c>
      <c r="H101" s="167">
        <v>0</v>
      </c>
      <c r="I101" s="167">
        <v>137</v>
      </c>
      <c r="J101" s="167">
        <v>125.97</v>
      </c>
      <c r="K101" s="167"/>
      <c r="L101" s="167"/>
      <c r="M101" s="167">
        <v>137</v>
      </c>
      <c r="N101" s="167">
        <v>125.97</v>
      </c>
      <c r="O101" s="167"/>
      <c r="P101" s="167"/>
      <c r="Q101" s="167"/>
      <c r="R101" s="167"/>
      <c r="S101" s="167">
        <v>0</v>
      </c>
      <c r="T101" s="167">
        <v>0</v>
      </c>
      <c r="U101" s="168"/>
      <c r="V101" s="168"/>
      <c r="W101" s="168"/>
      <c r="X101" s="168"/>
      <c r="Y101" s="168">
        <v>0</v>
      </c>
      <c r="Z101" s="168">
        <v>0</v>
      </c>
      <c r="AA101" s="168">
        <v>141</v>
      </c>
      <c r="AB101" s="168">
        <v>111.64</v>
      </c>
      <c r="AC101" s="168"/>
      <c r="AD101" s="168"/>
      <c r="AE101" s="168">
        <v>141</v>
      </c>
      <c r="AF101" s="168">
        <v>111.64</v>
      </c>
      <c r="AG101" s="168"/>
      <c r="AH101" s="168"/>
      <c r="AI101" s="168"/>
      <c r="AJ101" s="168"/>
      <c r="AK101" s="168">
        <v>0</v>
      </c>
      <c r="AL101" s="168">
        <v>0</v>
      </c>
    </row>
    <row r="102" spans="1:38" ht="21">
      <c r="A102" s="165">
        <v>7</v>
      </c>
      <c r="B102" s="166" t="s">
        <v>384</v>
      </c>
      <c r="C102" s="167"/>
      <c r="D102" s="167"/>
      <c r="E102" s="167"/>
      <c r="F102" s="167"/>
      <c r="G102" s="167">
        <v>0</v>
      </c>
      <c r="H102" s="167">
        <v>0</v>
      </c>
      <c r="I102" s="167">
        <v>82</v>
      </c>
      <c r="J102" s="167">
        <v>74.33</v>
      </c>
      <c r="K102" s="167"/>
      <c r="L102" s="167"/>
      <c r="M102" s="167">
        <v>82</v>
      </c>
      <c r="N102" s="167">
        <v>74.33</v>
      </c>
      <c r="O102" s="167"/>
      <c r="P102" s="167"/>
      <c r="Q102" s="167"/>
      <c r="R102" s="167"/>
      <c r="S102" s="167">
        <v>0</v>
      </c>
      <c r="T102" s="167">
        <v>0</v>
      </c>
      <c r="U102" s="168"/>
      <c r="V102" s="168"/>
      <c r="W102" s="168"/>
      <c r="X102" s="168"/>
      <c r="Y102" s="168">
        <v>0</v>
      </c>
      <c r="Z102" s="168">
        <v>0</v>
      </c>
      <c r="AA102" s="168">
        <v>84</v>
      </c>
      <c r="AB102" s="168">
        <v>76.44</v>
      </c>
      <c r="AC102" s="168"/>
      <c r="AD102" s="168"/>
      <c r="AE102" s="168">
        <v>84</v>
      </c>
      <c r="AF102" s="168">
        <v>76.44</v>
      </c>
      <c r="AG102" s="168"/>
      <c r="AH102" s="168"/>
      <c r="AI102" s="168"/>
      <c r="AJ102" s="168"/>
      <c r="AK102" s="168">
        <v>0</v>
      </c>
      <c r="AL102" s="168">
        <v>0</v>
      </c>
    </row>
    <row r="103" spans="1:38" ht="21">
      <c r="A103" s="346" t="s">
        <v>14</v>
      </c>
      <c r="B103" s="347"/>
      <c r="C103" s="167">
        <f>SUM(C96:C102)</f>
        <v>0</v>
      </c>
      <c r="D103" s="167">
        <f aca="true" t="shared" si="18" ref="D103:T103">SUM(D96:D102)</f>
        <v>0</v>
      </c>
      <c r="E103" s="167">
        <f t="shared" si="18"/>
        <v>0</v>
      </c>
      <c r="F103" s="167">
        <f t="shared" si="18"/>
        <v>0</v>
      </c>
      <c r="G103" s="167">
        <f t="shared" si="18"/>
        <v>0</v>
      </c>
      <c r="H103" s="167">
        <f t="shared" si="18"/>
        <v>0</v>
      </c>
      <c r="I103" s="167">
        <f t="shared" si="18"/>
        <v>451</v>
      </c>
      <c r="J103" s="167">
        <f t="shared" si="18"/>
        <v>427.35999999999996</v>
      </c>
      <c r="K103" s="167">
        <f t="shared" si="18"/>
        <v>0</v>
      </c>
      <c r="L103" s="167">
        <f t="shared" si="18"/>
        <v>0</v>
      </c>
      <c r="M103" s="167">
        <f t="shared" si="18"/>
        <v>451</v>
      </c>
      <c r="N103" s="167">
        <f t="shared" si="18"/>
        <v>427.35999999999996</v>
      </c>
      <c r="O103" s="167">
        <f t="shared" si="18"/>
        <v>0</v>
      </c>
      <c r="P103" s="167">
        <f t="shared" si="18"/>
        <v>0</v>
      </c>
      <c r="Q103" s="167">
        <f t="shared" si="18"/>
        <v>0</v>
      </c>
      <c r="R103" s="167">
        <f t="shared" si="18"/>
        <v>0</v>
      </c>
      <c r="S103" s="167">
        <f t="shared" si="18"/>
        <v>0</v>
      </c>
      <c r="T103" s="167">
        <f t="shared" si="18"/>
        <v>0</v>
      </c>
      <c r="U103" s="168">
        <f>+U96+U97+U98+U99+U100+U101+U102</f>
        <v>0</v>
      </c>
      <c r="V103" s="168">
        <f aca="true" t="shared" si="19" ref="V103:AL103">+V96+V97+V98+V99+V100+V101+V102</f>
        <v>0</v>
      </c>
      <c r="W103" s="168">
        <f t="shared" si="19"/>
        <v>0</v>
      </c>
      <c r="X103" s="168">
        <f t="shared" si="19"/>
        <v>0</v>
      </c>
      <c r="Y103" s="168">
        <f t="shared" si="19"/>
        <v>0</v>
      </c>
      <c r="Z103" s="168">
        <f t="shared" si="19"/>
        <v>0</v>
      </c>
      <c r="AA103" s="168">
        <f t="shared" si="19"/>
        <v>461</v>
      </c>
      <c r="AB103" s="168">
        <f t="shared" si="19"/>
        <v>394.64</v>
      </c>
      <c r="AC103" s="168">
        <f t="shared" si="19"/>
        <v>0</v>
      </c>
      <c r="AD103" s="168">
        <f t="shared" si="19"/>
        <v>0</v>
      </c>
      <c r="AE103" s="168">
        <f t="shared" si="19"/>
        <v>461</v>
      </c>
      <c r="AF103" s="168">
        <f t="shared" si="19"/>
        <v>394.64</v>
      </c>
      <c r="AG103" s="168">
        <f t="shared" si="19"/>
        <v>0</v>
      </c>
      <c r="AH103" s="168">
        <f t="shared" si="19"/>
        <v>0</v>
      </c>
      <c r="AI103" s="168">
        <f t="shared" si="19"/>
        <v>0</v>
      </c>
      <c r="AJ103" s="168">
        <f t="shared" si="19"/>
        <v>0</v>
      </c>
      <c r="AK103" s="168">
        <f t="shared" si="19"/>
        <v>0</v>
      </c>
      <c r="AL103" s="168">
        <f t="shared" si="19"/>
        <v>0</v>
      </c>
    </row>
    <row r="104" spans="1:38" ht="21">
      <c r="A104" s="337" t="s">
        <v>328</v>
      </c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9"/>
    </row>
    <row r="105" spans="1:38" ht="21">
      <c r="A105" s="337" t="s">
        <v>289</v>
      </c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9"/>
    </row>
    <row r="106" spans="1:38" ht="21">
      <c r="A106" s="340" t="s">
        <v>330</v>
      </c>
      <c r="B106" s="340" t="s">
        <v>331</v>
      </c>
      <c r="C106" s="343" t="s">
        <v>332</v>
      </c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5"/>
      <c r="U106" s="343" t="s">
        <v>333</v>
      </c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5"/>
    </row>
    <row r="107" spans="1:38" ht="21">
      <c r="A107" s="341"/>
      <c r="B107" s="341"/>
      <c r="C107" s="343" t="s">
        <v>195</v>
      </c>
      <c r="D107" s="344"/>
      <c r="E107" s="344"/>
      <c r="F107" s="344"/>
      <c r="G107" s="344"/>
      <c r="H107" s="345"/>
      <c r="I107" s="343" t="s">
        <v>334</v>
      </c>
      <c r="J107" s="344"/>
      <c r="K107" s="344"/>
      <c r="L107" s="344"/>
      <c r="M107" s="344"/>
      <c r="N107" s="345"/>
      <c r="O107" s="343" t="s">
        <v>335</v>
      </c>
      <c r="P107" s="344"/>
      <c r="Q107" s="344"/>
      <c r="R107" s="344"/>
      <c r="S107" s="344"/>
      <c r="T107" s="345"/>
      <c r="U107" s="343" t="s">
        <v>195</v>
      </c>
      <c r="V107" s="344"/>
      <c r="W107" s="344"/>
      <c r="X107" s="344"/>
      <c r="Y107" s="344"/>
      <c r="Z107" s="345"/>
      <c r="AA107" s="343" t="s">
        <v>334</v>
      </c>
      <c r="AB107" s="344"/>
      <c r="AC107" s="344"/>
      <c r="AD107" s="344"/>
      <c r="AE107" s="344"/>
      <c r="AF107" s="345"/>
      <c r="AG107" s="343" t="s">
        <v>335</v>
      </c>
      <c r="AH107" s="344"/>
      <c r="AI107" s="344"/>
      <c r="AJ107" s="344"/>
      <c r="AK107" s="344"/>
      <c r="AL107" s="345"/>
    </row>
    <row r="108" spans="1:38" ht="21">
      <c r="A108" s="341"/>
      <c r="B108" s="341"/>
      <c r="C108" s="343" t="s">
        <v>336</v>
      </c>
      <c r="D108" s="345"/>
      <c r="E108" s="343" t="s">
        <v>337</v>
      </c>
      <c r="F108" s="345"/>
      <c r="G108" s="343" t="s">
        <v>14</v>
      </c>
      <c r="H108" s="345"/>
      <c r="I108" s="343" t="s">
        <v>336</v>
      </c>
      <c r="J108" s="345"/>
      <c r="K108" s="343" t="s">
        <v>337</v>
      </c>
      <c r="L108" s="345"/>
      <c r="M108" s="343" t="s">
        <v>14</v>
      </c>
      <c r="N108" s="345"/>
      <c r="O108" s="343" t="s">
        <v>336</v>
      </c>
      <c r="P108" s="345"/>
      <c r="Q108" s="343" t="s">
        <v>337</v>
      </c>
      <c r="R108" s="345"/>
      <c r="S108" s="343" t="s">
        <v>14</v>
      </c>
      <c r="T108" s="345"/>
      <c r="U108" s="343" t="s">
        <v>336</v>
      </c>
      <c r="V108" s="345"/>
      <c r="W108" s="343" t="s">
        <v>337</v>
      </c>
      <c r="X108" s="345"/>
      <c r="Y108" s="343" t="s">
        <v>14</v>
      </c>
      <c r="Z108" s="345"/>
      <c r="AA108" s="343" t="s">
        <v>336</v>
      </c>
      <c r="AB108" s="345"/>
      <c r="AC108" s="343" t="s">
        <v>337</v>
      </c>
      <c r="AD108" s="345"/>
      <c r="AE108" s="343" t="s">
        <v>14</v>
      </c>
      <c r="AF108" s="345"/>
      <c r="AG108" s="343" t="s">
        <v>336</v>
      </c>
      <c r="AH108" s="345"/>
      <c r="AI108" s="343" t="s">
        <v>337</v>
      </c>
      <c r="AJ108" s="345"/>
      <c r="AK108" s="343" t="s">
        <v>14</v>
      </c>
      <c r="AL108" s="345"/>
    </row>
    <row r="109" spans="1:38" ht="63">
      <c r="A109" s="342"/>
      <c r="B109" s="342"/>
      <c r="C109" s="167" t="s">
        <v>338</v>
      </c>
      <c r="D109" s="167" t="s">
        <v>339</v>
      </c>
      <c r="E109" s="167" t="s">
        <v>338</v>
      </c>
      <c r="F109" s="167" t="s">
        <v>339</v>
      </c>
      <c r="G109" s="167" t="s">
        <v>338</v>
      </c>
      <c r="H109" s="167" t="s">
        <v>339</v>
      </c>
      <c r="I109" s="167" t="s">
        <v>338</v>
      </c>
      <c r="J109" s="167" t="s">
        <v>339</v>
      </c>
      <c r="K109" s="167" t="s">
        <v>338</v>
      </c>
      <c r="L109" s="167" t="s">
        <v>339</v>
      </c>
      <c r="M109" s="167" t="s">
        <v>338</v>
      </c>
      <c r="N109" s="167" t="s">
        <v>339</v>
      </c>
      <c r="O109" s="167" t="s">
        <v>338</v>
      </c>
      <c r="P109" s="167" t="s">
        <v>339</v>
      </c>
      <c r="Q109" s="167" t="s">
        <v>338</v>
      </c>
      <c r="R109" s="167" t="s">
        <v>339</v>
      </c>
      <c r="S109" s="167" t="s">
        <v>338</v>
      </c>
      <c r="T109" s="167" t="s">
        <v>339</v>
      </c>
      <c r="U109" s="168" t="s">
        <v>338</v>
      </c>
      <c r="V109" s="168" t="s">
        <v>339</v>
      </c>
      <c r="W109" s="168" t="s">
        <v>338</v>
      </c>
      <c r="X109" s="168" t="s">
        <v>339</v>
      </c>
      <c r="Y109" s="168" t="s">
        <v>338</v>
      </c>
      <c r="Z109" s="168" t="s">
        <v>339</v>
      </c>
      <c r="AA109" s="168" t="s">
        <v>338</v>
      </c>
      <c r="AB109" s="168" t="s">
        <v>339</v>
      </c>
      <c r="AC109" s="168" t="s">
        <v>338</v>
      </c>
      <c r="AD109" s="168" t="s">
        <v>339</v>
      </c>
      <c r="AE109" s="168" t="s">
        <v>338</v>
      </c>
      <c r="AF109" s="168" t="s">
        <v>339</v>
      </c>
      <c r="AG109" s="168" t="s">
        <v>338</v>
      </c>
      <c r="AH109" s="168" t="s">
        <v>339</v>
      </c>
      <c r="AI109" s="168" t="s">
        <v>338</v>
      </c>
      <c r="AJ109" s="168" t="s">
        <v>339</v>
      </c>
      <c r="AK109" s="168" t="s">
        <v>338</v>
      </c>
      <c r="AL109" s="168" t="s">
        <v>339</v>
      </c>
    </row>
    <row r="110" spans="1:38" ht="21">
      <c r="A110" s="165">
        <v>1</v>
      </c>
      <c r="B110" s="166" t="s">
        <v>385</v>
      </c>
      <c r="C110" s="167"/>
      <c r="D110" s="167"/>
      <c r="E110" s="167"/>
      <c r="F110" s="167"/>
      <c r="G110" s="167">
        <v>0</v>
      </c>
      <c r="H110" s="167">
        <v>0</v>
      </c>
      <c r="I110" s="167">
        <v>59</v>
      </c>
      <c r="J110" s="167">
        <v>61</v>
      </c>
      <c r="K110" s="167"/>
      <c r="L110" s="167"/>
      <c r="M110" s="167">
        <v>59</v>
      </c>
      <c r="N110" s="167">
        <v>61</v>
      </c>
      <c r="O110" s="167">
        <v>1</v>
      </c>
      <c r="P110" s="167">
        <v>0.11</v>
      </c>
      <c r="Q110" s="167"/>
      <c r="R110" s="167"/>
      <c r="S110" s="167">
        <v>1</v>
      </c>
      <c r="T110" s="167">
        <v>0.11</v>
      </c>
      <c r="U110" s="168"/>
      <c r="V110" s="168"/>
      <c r="W110" s="168"/>
      <c r="X110" s="168"/>
      <c r="Y110" s="168">
        <v>0</v>
      </c>
      <c r="Z110" s="168">
        <v>0</v>
      </c>
      <c r="AA110" s="168">
        <v>60</v>
      </c>
      <c r="AB110" s="168">
        <v>59</v>
      </c>
      <c r="AC110" s="168"/>
      <c r="AD110" s="168"/>
      <c r="AE110" s="168">
        <v>60</v>
      </c>
      <c r="AF110" s="168">
        <v>59</v>
      </c>
      <c r="AG110" s="168">
        <v>1</v>
      </c>
      <c r="AH110" s="168">
        <v>0.28</v>
      </c>
      <c r="AI110" s="168"/>
      <c r="AJ110" s="168"/>
      <c r="AK110" s="168">
        <v>1</v>
      </c>
      <c r="AL110" s="168">
        <v>0.28</v>
      </c>
    </row>
    <row r="111" spans="1:38" ht="21">
      <c r="A111" s="165">
        <v>2</v>
      </c>
      <c r="B111" s="166" t="s">
        <v>386</v>
      </c>
      <c r="C111" s="167"/>
      <c r="D111" s="167"/>
      <c r="E111" s="167"/>
      <c r="F111" s="167"/>
      <c r="G111" s="167">
        <v>0</v>
      </c>
      <c r="H111" s="167">
        <v>0</v>
      </c>
      <c r="I111" s="167">
        <v>49</v>
      </c>
      <c r="J111" s="167">
        <v>43.22</v>
      </c>
      <c r="K111" s="167"/>
      <c r="L111" s="167"/>
      <c r="M111" s="167">
        <v>49</v>
      </c>
      <c r="N111" s="167">
        <v>43.22</v>
      </c>
      <c r="O111" s="167"/>
      <c r="P111" s="167"/>
      <c r="Q111" s="167"/>
      <c r="R111" s="167"/>
      <c r="S111" s="167">
        <v>0</v>
      </c>
      <c r="T111" s="167">
        <v>0</v>
      </c>
      <c r="U111" s="168"/>
      <c r="V111" s="168"/>
      <c r="W111" s="168"/>
      <c r="X111" s="168"/>
      <c r="Y111" s="168">
        <v>0</v>
      </c>
      <c r="Z111" s="168">
        <v>0</v>
      </c>
      <c r="AA111" s="168">
        <v>50</v>
      </c>
      <c r="AB111" s="168">
        <v>44.39</v>
      </c>
      <c r="AC111" s="168"/>
      <c r="AD111" s="168"/>
      <c r="AE111" s="168">
        <v>50</v>
      </c>
      <c r="AF111" s="168">
        <v>44.39</v>
      </c>
      <c r="AG111" s="168"/>
      <c r="AH111" s="168"/>
      <c r="AI111" s="168"/>
      <c r="AJ111" s="168"/>
      <c r="AK111" s="168">
        <v>0</v>
      </c>
      <c r="AL111" s="168">
        <v>0</v>
      </c>
    </row>
    <row r="112" spans="1:38" ht="21">
      <c r="A112" s="165">
        <v>3</v>
      </c>
      <c r="B112" s="166" t="s">
        <v>387</v>
      </c>
      <c r="C112" s="167"/>
      <c r="D112" s="167"/>
      <c r="E112" s="167"/>
      <c r="F112" s="167"/>
      <c r="G112" s="167">
        <v>0</v>
      </c>
      <c r="H112" s="167">
        <v>0</v>
      </c>
      <c r="I112" s="167">
        <v>65</v>
      </c>
      <c r="J112" s="167">
        <v>59.25</v>
      </c>
      <c r="K112" s="167"/>
      <c r="L112" s="167"/>
      <c r="M112" s="167">
        <v>65</v>
      </c>
      <c r="N112" s="167">
        <v>59.25</v>
      </c>
      <c r="O112" s="167"/>
      <c r="P112" s="167"/>
      <c r="Q112" s="167"/>
      <c r="R112" s="167"/>
      <c r="S112" s="167">
        <v>0</v>
      </c>
      <c r="T112" s="167">
        <v>0</v>
      </c>
      <c r="U112" s="168"/>
      <c r="V112" s="168"/>
      <c r="W112" s="168"/>
      <c r="X112" s="168"/>
      <c r="Y112" s="168">
        <v>0</v>
      </c>
      <c r="Z112" s="168">
        <v>0</v>
      </c>
      <c r="AA112" s="168">
        <v>65</v>
      </c>
      <c r="AB112" s="168">
        <v>62.22</v>
      </c>
      <c r="AC112" s="168"/>
      <c r="AD112" s="168"/>
      <c r="AE112" s="168">
        <v>65</v>
      </c>
      <c r="AF112" s="168">
        <v>62.22</v>
      </c>
      <c r="AG112" s="168"/>
      <c r="AH112" s="168"/>
      <c r="AI112" s="168"/>
      <c r="AJ112" s="168"/>
      <c r="AK112" s="168">
        <v>0</v>
      </c>
      <c r="AL112" s="168">
        <v>0</v>
      </c>
    </row>
    <row r="113" spans="1:38" ht="21">
      <c r="A113" s="165">
        <v>4</v>
      </c>
      <c r="B113" s="166" t="s">
        <v>388</v>
      </c>
      <c r="C113" s="167"/>
      <c r="D113" s="167"/>
      <c r="E113" s="167"/>
      <c r="F113" s="167"/>
      <c r="G113" s="167">
        <v>0</v>
      </c>
      <c r="H113" s="167">
        <v>0</v>
      </c>
      <c r="I113" s="167"/>
      <c r="J113" s="167"/>
      <c r="K113" s="167"/>
      <c r="L113" s="167"/>
      <c r="M113" s="167">
        <v>0</v>
      </c>
      <c r="N113" s="167">
        <v>0</v>
      </c>
      <c r="O113" s="167"/>
      <c r="P113" s="167"/>
      <c r="Q113" s="167"/>
      <c r="R113" s="167"/>
      <c r="S113" s="167">
        <v>0</v>
      </c>
      <c r="T113" s="167">
        <v>0</v>
      </c>
      <c r="U113" s="168"/>
      <c r="V113" s="168"/>
      <c r="W113" s="168"/>
      <c r="X113" s="168"/>
      <c r="Y113" s="168">
        <v>0</v>
      </c>
      <c r="Z113" s="168">
        <v>0</v>
      </c>
      <c r="AA113" s="168">
        <v>2</v>
      </c>
      <c r="AB113" s="168">
        <v>0.11</v>
      </c>
      <c r="AC113" s="168"/>
      <c r="AD113" s="168"/>
      <c r="AE113" s="168">
        <v>2</v>
      </c>
      <c r="AF113" s="168">
        <v>0.11</v>
      </c>
      <c r="AG113" s="168"/>
      <c r="AH113" s="168"/>
      <c r="AI113" s="168"/>
      <c r="AJ113" s="168"/>
      <c r="AK113" s="168">
        <v>0</v>
      </c>
      <c r="AL113" s="168">
        <v>0</v>
      </c>
    </row>
    <row r="114" spans="1:38" ht="21">
      <c r="A114" s="165">
        <v>5</v>
      </c>
      <c r="B114" s="166" t="s">
        <v>389</v>
      </c>
      <c r="C114" s="167"/>
      <c r="D114" s="167"/>
      <c r="E114" s="167"/>
      <c r="F114" s="167"/>
      <c r="G114" s="167">
        <v>0</v>
      </c>
      <c r="H114" s="167">
        <v>0</v>
      </c>
      <c r="I114" s="167">
        <v>1</v>
      </c>
      <c r="J114" s="167">
        <v>0.08</v>
      </c>
      <c r="K114" s="167"/>
      <c r="L114" s="167"/>
      <c r="M114" s="167">
        <v>1</v>
      </c>
      <c r="N114" s="167">
        <v>0.08</v>
      </c>
      <c r="O114" s="167"/>
      <c r="P114" s="167"/>
      <c r="Q114" s="167"/>
      <c r="R114" s="167"/>
      <c r="S114" s="167">
        <v>0</v>
      </c>
      <c r="T114" s="167">
        <v>0</v>
      </c>
      <c r="U114" s="168"/>
      <c r="V114" s="168"/>
      <c r="W114" s="168"/>
      <c r="X114" s="168"/>
      <c r="Y114" s="168">
        <v>0</v>
      </c>
      <c r="Z114" s="168">
        <v>0</v>
      </c>
      <c r="AA114" s="168">
        <v>1</v>
      </c>
      <c r="AB114" s="168">
        <v>0.17</v>
      </c>
      <c r="AC114" s="168"/>
      <c r="AD114" s="168"/>
      <c r="AE114" s="168">
        <v>1</v>
      </c>
      <c r="AF114" s="168">
        <v>0.17</v>
      </c>
      <c r="AG114" s="168"/>
      <c r="AH114" s="168"/>
      <c r="AI114" s="168"/>
      <c r="AJ114" s="168"/>
      <c r="AK114" s="168">
        <v>0</v>
      </c>
      <c r="AL114" s="168">
        <v>0</v>
      </c>
    </row>
    <row r="115" spans="1:38" ht="21">
      <c r="A115" s="165">
        <v>6</v>
      </c>
      <c r="B115" s="166" t="s">
        <v>390</v>
      </c>
      <c r="C115" s="167"/>
      <c r="D115" s="167"/>
      <c r="E115" s="167"/>
      <c r="F115" s="167"/>
      <c r="G115" s="167">
        <v>0</v>
      </c>
      <c r="H115" s="167">
        <v>0</v>
      </c>
      <c r="I115" s="167">
        <v>8</v>
      </c>
      <c r="J115" s="167">
        <v>7.19</v>
      </c>
      <c r="K115" s="167"/>
      <c r="L115" s="167"/>
      <c r="M115" s="167">
        <v>8</v>
      </c>
      <c r="N115" s="167">
        <v>7.19</v>
      </c>
      <c r="O115" s="167"/>
      <c r="P115" s="167"/>
      <c r="Q115" s="167"/>
      <c r="R115" s="167"/>
      <c r="S115" s="167">
        <v>0</v>
      </c>
      <c r="T115" s="167">
        <v>0</v>
      </c>
      <c r="U115" s="168"/>
      <c r="V115" s="168"/>
      <c r="W115" s="168"/>
      <c r="X115" s="168"/>
      <c r="Y115" s="168">
        <v>0</v>
      </c>
      <c r="Z115" s="168">
        <v>0</v>
      </c>
      <c r="AA115" s="168">
        <v>9</v>
      </c>
      <c r="AB115" s="168">
        <v>8.89</v>
      </c>
      <c r="AC115" s="168"/>
      <c r="AD115" s="168"/>
      <c r="AE115" s="168">
        <v>9</v>
      </c>
      <c r="AF115" s="168">
        <v>8.89</v>
      </c>
      <c r="AG115" s="168"/>
      <c r="AH115" s="168"/>
      <c r="AI115" s="168"/>
      <c r="AJ115" s="168"/>
      <c r="AK115" s="168">
        <v>0</v>
      </c>
      <c r="AL115" s="168">
        <v>0</v>
      </c>
    </row>
    <row r="116" spans="1:38" ht="21">
      <c r="A116" s="165">
        <v>7</v>
      </c>
      <c r="B116" s="166" t="s">
        <v>391</v>
      </c>
      <c r="C116" s="167"/>
      <c r="D116" s="167"/>
      <c r="E116" s="167"/>
      <c r="F116" s="167"/>
      <c r="G116" s="167">
        <v>0</v>
      </c>
      <c r="H116" s="167">
        <v>0</v>
      </c>
      <c r="I116" s="167">
        <v>49</v>
      </c>
      <c r="J116" s="167">
        <v>43.42</v>
      </c>
      <c r="K116" s="167"/>
      <c r="L116" s="167"/>
      <c r="M116" s="167">
        <v>49</v>
      </c>
      <c r="N116" s="167">
        <v>43.42</v>
      </c>
      <c r="O116" s="167"/>
      <c r="P116" s="167"/>
      <c r="Q116" s="167"/>
      <c r="R116" s="167"/>
      <c r="S116" s="167">
        <v>0</v>
      </c>
      <c r="T116" s="167">
        <v>0</v>
      </c>
      <c r="U116" s="168"/>
      <c r="V116" s="168"/>
      <c r="W116" s="168"/>
      <c r="X116" s="168"/>
      <c r="Y116" s="168">
        <v>0</v>
      </c>
      <c r="Z116" s="168">
        <v>0</v>
      </c>
      <c r="AA116" s="168">
        <v>49</v>
      </c>
      <c r="AB116" s="168">
        <v>40.5</v>
      </c>
      <c r="AC116" s="168"/>
      <c r="AD116" s="168"/>
      <c r="AE116" s="168">
        <v>49</v>
      </c>
      <c r="AF116" s="168">
        <v>40.5</v>
      </c>
      <c r="AG116" s="168"/>
      <c r="AH116" s="168"/>
      <c r="AI116" s="168"/>
      <c r="AJ116" s="168"/>
      <c r="AK116" s="168">
        <v>0</v>
      </c>
      <c r="AL116" s="168">
        <v>0</v>
      </c>
    </row>
    <row r="117" spans="1:38" ht="21">
      <c r="A117" s="165">
        <v>8</v>
      </c>
      <c r="B117" s="166" t="s">
        <v>392</v>
      </c>
      <c r="C117" s="167"/>
      <c r="D117" s="167"/>
      <c r="E117" s="167"/>
      <c r="F117" s="167"/>
      <c r="G117" s="167">
        <v>0</v>
      </c>
      <c r="H117" s="167">
        <v>0</v>
      </c>
      <c r="I117" s="167">
        <v>91</v>
      </c>
      <c r="J117" s="167">
        <v>82.5</v>
      </c>
      <c r="K117" s="167"/>
      <c r="L117" s="167"/>
      <c r="M117" s="167">
        <v>91</v>
      </c>
      <c r="N117" s="167">
        <v>82.5</v>
      </c>
      <c r="O117" s="167"/>
      <c r="P117" s="167"/>
      <c r="Q117" s="167"/>
      <c r="R117" s="167"/>
      <c r="S117" s="167">
        <v>0</v>
      </c>
      <c r="T117" s="167">
        <v>0</v>
      </c>
      <c r="U117" s="168"/>
      <c r="V117" s="168"/>
      <c r="W117" s="168"/>
      <c r="X117" s="168"/>
      <c r="Y117" s="168">
        <v>0</v>
      </c>
      <c r="Z117" s="168">
        <v>0</v>
      </c>
      <c r="AA117" s="168">
        <v>92</v>
      </c>
      <c r="AB117" s="168">
        <v>70.97</v>
      </c>
      <c r="AC117" s="168"/>
      <c r="AD117" s="168"/>
      <c r="AE117" s="168">
        <v>92</v>
      </c>
      <c r="AF117" s="168">
        <v>70.97</v>
      </c>
      <c r="AG117" s="168"/>
      <c r="AH117" s="168"/>
      <c r="AI117" s="168"/>
      <c r="AJ117" s="168"/>
      <c r="AK117" s="168">
        <v>0</v>
      </c>
      <c r="AL117" s="168">
        <v>0</v>
      </c>
    </row>
    <row r="118" spans="1:38" ht="21">
      <c r="A118" s="346" t="s">
        <v>14</v>
      </c>
      <c r="B118" s="347"/>
      <c r="C118" s="167">
        <f>SUM(C110:C117)</f>
        <v>0</v>
      </c>
      <c r="D118" s="167">
        <f aca="true" t="shared" si="20" ref="D118:T118">SUM(D110:D117)</f>
        <v>0</v>
      </c>
      <c r="E118" s="167">
        <f t="shared" si="20"/>
        <v>0</v>
      </c>
      <c r="F118" s="167">
        <f t="shared" si="20"/>
        <v>0</v>
      </c>
      <c r="G118" s="167">
        <f t="shared" si="20"/>
        <v>0</v>
      </c>
      <c r="H118" s="167">
        <f t="shared" si="20"/>
        <v>0</v>
      </c>
      <c r="I118" s="167">
        <f t="shared" si="20"/>
        <v>322</v>
      </c>
      <c r="J118" s="167">
        <f t="shared" si="20"/>
        <v>296.66</v>
      </c>
      <c r="K118" s="167">
        <f t="shared" si="20"/>
        <v>0</v>
      </c>
      <c r="L118" s="167">
        <f t="shared" si="20"/>
        <v>0</v>
      </c>
      <c r="M118" s="167">
        <f t="shared" si="20"/>
        <v>322</v>
      </c>
      <c r="N118" s="167">
        <f t="shared" si="20"/>
        <v>296.66</v>
      </c>
      <c r="O118" s="167">
        <f t="shared" si="20"/>
        <v>1</v>
      </c>
      <c r="P118" s="167">
        <f t="shared" si="20"/>
        <v>0.11</v>
      </c>
      <c r="Q118" s="167">
        <f t="shared" si="20"/>
        <v>0</v>
      </c>
      <c r="R118" s="167">
        <f t="shared" si="20"/>
        <v>0</v>
      </c>
      <c r="S118" s="167">
        <f t="shared" si="20"/>
        <v>1</v>
      </c>
      <c r="T118" s="167">
        <f t="shared" si="20"/>
        <v>0.11</v>
      </c>
      <c r="U118" s="168">
        <f>+U110+U111+U112+U113+U114+U115+U116+U117</f>
        <v>0</v>
      </c>
      <c r="V118" s="168">
        <f aca="true" t="shared" si="21" ref="V118:AL118">+V110+V111+V112+V113+V114+V115+V116+V117</f>
        <v>0</v>
      </c>
      <c r="W118" s="168">
        <f t="shared" si="21"/>
        <v>0</v>
      </c>
      <c r="X118" s="168">
        <f t="shared" si="21"/>
        <v>0</v>
      </c>
      <c r="Y118" s="168">
        <f t="shared" si="21"/>
        <v>0</v>
      </c>
      <c r="Z118" s="168">
        <f t="shared" si="21"/>
        <v>0</v>
      </c>
      <c r="AA118" s="168">
        <f t="shared" si="21"/>
        <v>328</v>
      </c>
      <c r="AB118" s="168">
        <f t="shared" si="21"/>
        <v>286.25</v>
      </c>
      <c r="AC118" s="168">
        <f t="shared" si="21"/>
        <v>0</v>
      </c>
      <c r="AD118" s="168">
        <f t="shared" si="21"/>
        <v>0</v>
      </c>
      <c r="AE118" s="168">
        <f t="shared" si="21"/>
        <v>328</v>
      </c>
      <c r="AF118" s="168">
        <f t="shared" si="21"/>
        <v>286.25</v>
      </c>
      <c r="AG118" s="168">
        <f t="shared" si="21"/>
        <v>1</v>
      </c>
      <c r="AH118" s="168">
        <f t="shared" si="21"/>
        <v>0.28</v>
      </c>
      <c r="AI118" s="168">
        <f t="shared" si="21"/>
        <v>0</v>
      </c>
      <c r="AJ118" s="168">
        <f t="shared" si="21"/>
        <v>0</v>
      </c>
      <c r="AK118" s="168">
        <f t="shared" si="21"/>
        <v>1</v>
      </c>
      <c r="AL118" s="168">
        <f t="shared" si="21"/>
        <v>0.28</v>
      </c>
    </row>
    <row r="119" spans="1:38" ht="21">
      <c r="A119" s="337" t="s">
        <v>328</v>
      </c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9"/>
    </row>
    <row r="120" spans="1:38" ht="21">
      <c r="A120" s="337" t="s">
        <v>196</v>
      </c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9"/>
    </row>
    <row r="121" spans="1:38" ht="21">
      <c r="A121" s="340" t="s">
        <v>330</v>
      </c>
      <c r="B121" s="340" t="s">
        <v>331</v>
      </c>
      <c r="C121" s="343" t="s">
        <v>332</v>
      </c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5"/>
      <c r="U121" s="343" t="s">
        <v>333</v>
      </c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5"/>
    </row>
    <row r="122" spans="1:38" ht="21">
      <c r="A122" s="341"/>
      <c r="B122" s="341"/>
      <c r="C122" s="343" t="s">
        <v>195</v>
      </c>
      <c r="D122" s="344"/>
      <c r="E122" s="344"/>
      <c r="F122" s="344"/>
      <c r="G122" s="344"/>
      <c r="H122" s="345"/>
      <c r="I122" s="343" t="s">
        <v>334</v>
      </c>
      <c r="J122" s="344"/>
      <c r="K122" s="344"/>
      <c r="L122" s="344"/>
      <c r="M122" s="344"/>
      <c r="N122" s="345"/>
      <c r="O122" s="343" t="s">
        <v>335</v>
      </c>
      <c r="P122" s="344"/>
      <c r="Q122" s="344"/>
      <c r="R122" s="344"/>
      <c r="S122" s="344"/>
      <c r="T122" s="345"/>
      <c r="U122" s="343" t="s">
        <v>195</v>
      </c>
      <c r="V122" s="344"/>
      <c r="W122" s="344"/>
      <c r="X122" s="344"/>
      <c r="Y122" s="344"/>
      <c r="Z122" s="345"/>
      <c r="AA122" s="343" t="s">
        <v>334</v>
      </c>
      <c r="AB122" s="344"/>
      <c r="AC122" s="344"/>
      <c r="AD122" s="344"/>
      <c r="AE122" s="344"/>
      <c r="AF122" s="345"/>
      <c r="AG122" s="343" t="s">
        <v>335</v>
      </c>
      <c r="AH122" s="344"/>
      <c r="AI122" s="344"/>
      <c r="AJ122" s="344"/>
      <c r="AK122" s="344"/>
      <c r="AL122" s="345"/>
    </row>
    <row r="123" spans="1:38" ht="21">
      <c r="A123" s="341"/>
      <c r="B123" s="341"/>
      <c r="C123" s="343" t="s">
        <v>336</v>
      </c>
      <c r="D123" s="345"/>
      <c r="E123" s="343" t="s">
        <v>337</v>
      </c>
      <c r="F123" s="345"/>
      <c r="G123" s="343" t="s">
        <v>14</v>
      </c>
      <c r="H123" s="345"/>
      <c r="I123" s="343" t="s">
        <v>336</v>
      </c>
      <c r="J123" s="345"/>
      <c r="K123" s="343" t="s">
        <v>337</v>
      </c>
      <c r="L123" s="345"/>
      <c r="M123" s="343" t="s">
        <v>14</v>
      </c>
      <c r="N123" s="345"/>
      <c r="O123" s="343" t="s">
        <v>336</v>
      </c>
      <c r="P123" s="345"/>
      <c r="Q123" s="343" t="s">
        <v>337</v>
      </c>
      <c r="R123" s="345"/>
      <c r="S123" s="343" t="s">
        <v>14</v>
      </c>
      <c r="T123" s="345"/>
      <c r="U123" s="343" t="s">
        <v>336</v>
      </c>
      <c r="V123" s="345"/>
      <c r="W123" s="343" t="s">
        <v>337</v>
      </c>
      <c r="X123" s="345"/>
      <c r="Y123" s="343" t="s">
        <v>14</v>
      </c>
      <c r="Z123" s="345"/>
      <c r="AA123" s="343" t="s">
        <v>336</v>
      </c>
      <c r="AB123" s="345"/>
      <c r="AC123" s="343" t="s">
        <v>337</v>
      </c>
      <c r="AD123" s="345"/>
      <c r="AE123" s="343" t="s">
        <v>14</v>
      </c>
      <c r="AF123" s="345"/>
      <c r="AG123" s="343" t="s">
        <v>336</v>
      </c>
      <c r="AH123" s="345"/>
      <c r="AI123" s="343" t="s">
        <v>337</v>
      </c>
      <c r="AJ123" s="345"/>
      <c r="AK123" s="343" t="s">
        <v>14</v>
      </c>
      <c r="AL123" s="345"/>
    </row>
    <row r="124" spans="1:38" ht="63">
      <c r="A124" s="342"/>
      <c r="B124" s="342"/>
      <c r="C124" s="167" t="s">
        <v>338</v>
      </c>
      <c r="D124" s="167" t="s">
        <v>339</v>
      </c>
      <c r="E124" s="167" t="s">
        <v>338</v>
      </c>
      <c r="F124" s="167" t="s">
        <v>339</v>
      </c>
      <c r="G124" s="167" t="s">
        <v>338</v>
      </c>
      <c r="H124" s="167" t="s">
        <v>339</v>
      </c>
      <c r="I124" s="167" t="s">
        <v>338</v>
      </c>
      <c r="J124" s="167" t="s">
        <v>339</v>
      </c>
      <c r="K124" s="167" t="s">
        <v>338</v>
      </c>
      <c r="L124" s="167" t="s">
        <v>339</v>
      </c>
      <c r="M124" s="167" t="s">
        <v>338</v>
      </c>
      <c r="N124" s="167" t="s">
        <v>339</v>
      </c>
      <c r="O124" s="167" t="s">
        <v>338</v>
      </c>
      <c r="P124" s="167" t="s">
        <v>339</v>
      </c>
      <c r="Q124" s="167" t="s">
        <v>338</v>
      </c>
      <c r="R124" s="167" t="s">
        <v>339</v>
      </c>
      <c r="S124" s="167" t="s">
        <v>338</v>
      </c>
      <c r="T124" s="167" t="s">
        <v>339</v>
      </c>
      <c r="U124" s="168" t="s">
        <v>338</v>
      </c>
      <c r="V124" s="168" t="s">
        <v>339</v>
      </c>
      <c r="W124" s="168" t="s">
        <v>338</v>
      </c>
      <c r="X124" s="168" t="s">
        <v>339</v>
      </c>
      <c r="Y124" s="168" t="s">
        <v>338</v>
      </c>
      <c r="Z124" s="168" t="s">
        <v>339</v>
      </c>
      <c r="AA124" s="168" t="s">
        <v>338</v>
      </c>
      <c r="AB124" s="168" t="s">
        <v>339</v>
      </c>
      <c r="AC124" s="168" t="s">
        <v>338</v>
      </c>
      <c r="AD124" s="168" t="s">
        <v>339</v>
      </c>
      <c r="AE124" s="168" t="s">
        <v>338</v>
      </c>
      <c r="AF124" s="168" t="s">
        <v>339</v>
      </c>
      <c r="AG124" s="168" t="s">
        <v>338</v>
      </c>
      <c r="AH124" s="168" t="s">
        <v>339</v>
      </c>
      <c r="AI124" s="168" t="s">
        <v>338</v>
      </c>
      <c r="AJ124" s="168" t="s">
        <v>339</v>
      </c>
      <c r="AK124" s="168" t="s">
        <v>338</v>
      </c>
      <c r="AL124" s="168" t="s">
        <v>339</v>
      </c>
    </row>
    <row r="125" spans="1:38" ht="21">
      <c r="A125" s="165">
        <v>1</v>
      </c>
      <c r="B125" s="166" t="s">
        <v>393</v>
      </c>
      <c r="C125" s="167"/>
      <c r="D125" s="167"/>
      <c r="E125" s="167"/>
      <c r="F125" s="167"/>
      <c r="G125" s="167">
        <v>0</v>
      </c>
      <c r="H125" s="167">
        <v>0</v>
      </c>
      <c r="I125" s="167">
        <v>65</v>
      </c>
      <c r="J125" s="167">
        <v>61.44</v>
      </c>
      <c r="K125" s="167"/>
      <c r="L125" s="167"/>
      <c r="M125" s="167">
        <v>65</v>
      </c>
      <c r="N125" s="167">
        <v>61.44</v>
      </c>
      <c r="O125" s="167"/>
      <c r="P125" s="167"/>
      <c r="Q125" s="167"/>
      <c r="R125" s="167"/>
      <c r="S125" s="167">
        <v>0</v>
      </c>
      <c r="T125" s="167">
        <v>0</v>
      </c>
      <c r="U125" s="168"/>
      <c r="V125" s="168"/>
      <c r="W125" s="168"/>
      <c r="X125" s="168"/>
      <c r="Y125" s="168">
        <v>0</v>
      </c>
      <c r="Z125" s="168">
        <v>0</v>
      </c>
      <c r="AA125" s="168">
        <v>65</v>
      </c>
      <c r="AB125" s="168">
        <v>57.97</v>
      </c>
      <c r="AC125" s="168"/>
      <c r="AD125" s="168"/>
      <c r="AE125" s="168">
        <v>65</v>
      </c>
      <c r="AF125" s="168">
        <v>57.97</v>
      </c>
      <c r="AG125" s="168"/>
      <c r="AH125" s="168"/>
      <c r="AI125" s="168"/>
      <c r="AJ125" s="168"/>
      <c r="AK125" s="168">
        <v>0</v>
      </c>
      <c r="AL125" s="168">
        <v>0</v>
      </c>
    </row>
    <row r="126" spans="1:38" ht="21">
      <c r="A126" s="165">
        <v>2</v>
      </c>
      <c r="B126" s="166" t="s">
        <v>394</v>
      </c>
      <c r="C126" s="167"/>
      <c r="D126" s="167"/>
      <c r="E126" s="167"/>
      <c r="F126" s="167"/>
      <c r="G126" s="167">
        <v>0</v>
      </c>
      <c r="H126" s="167">
        <v>0</v>
      </c>
      <c r="I126" s="167">
        <v>70</v>
      </c>
      <c r="J126" s="167">
        <v>75.03</v>
      </c>
      <c r="K126" s="167"/>
      <c r="L126" s="167"/>
      <c r="M126" s="167">
        <v>70</v>
      </c>
      <c r="N126" s="167">
        <v>75.03</v>
      </c>
      <c r="O126" s="167"/>
      <c r="P126" s="167"/>
      <c r="Q126" s="167"/>
      <c r="R126" s="167"/>
      <c r="S126" s="167">
        <v>0</v>
      </c>
      <c r="T126" s="167">
        <v>0</v>
      </c>
      <c r="U126" s="168"/>
      <c r="V126" s="168"/>
      <c r="W126" s="168"/>
      <c r="X126" s="168"/>
      <c r="Y126" s="168">
        <v>0</v>
      </c>
      <c r="Z126" s="168">
        <v>0</v>
      </c>
      <c r="AA126" s="168">
        <v>70</v>
      </c>
      <c r="AB126" s="168">
        <v>59.72</v>
      </c>
      <c r="AC126" s="168"/>
      <c r="AD126" s="168"/>
      <c r="AE126" s="168">
        <v>70</v>
      </c>
      <c r="AF126" s="168">
        <v>59.72</v>
      </c>
      <c r="AG126" s="168"/>
      <c r="AH126" s="168"/>
      <c r="AI126" s="168"/>
      <c r="AJ126" s="168"/>
      <c r="AK126" s="168">
        <v>0</v>
      </c>
      <c r="AL126" s="168">
        <v>0</v>
      </c>
    </row>
    <row r="127" spans="1:38" ht="21">
      <c r="A127" s="165">
        <v>3</v>
      </c>
      <c r="B127" s="166" t="s">
        <v>395</v>
      </c>
      <c r="C127" s="167"/>
      <c r="D127" s="167"/>
      <c r="E127" s="167"/>
      <c r="F127" s="167"/>
      <c r="G127" s="167">
        <v>0</v>
      </c>
      <c r="H127" s="167">
        <v>0</v>
      </c>
      <c r="I127" s="167">
        <v>17</v>
      </c>
      <c r="J127" s="167">
        <v>10.53</v>
      </c>
      <c r="K127" s="167"/>
      <c r="L127" s="167"/>
      <c r="M127" s="167">
        <v>17</v>
      </c>
      <c r="N127" s="167">
        <v>10.53</v>
      </c>
      <c r="O127" s="167"/>
      <c r="P127" s="167"/>
      <c r="Q127" s="167"/>
      <c r="R127" s="167"/>
      <c r="S127" s="167">
        <v>0</v>
      </c>
      <c r="T127" s="167">
        <v>0</v>
      </c>
      <c r="U127" s="168"/>
      <c r="V127" s="168"/>
      <c r="W127" s="168"/>
      <c r="X127" s="168"/>
      <c r="Y127" s="168">
        <v>0</v>
      </c>
      <c r="Z127" s="168">
        <v>0</v>
      </c>
      <c r="AA127" s="168">
        <v>17</v>
      </c>
      <c r="AB127" s="168">
        <v>17.83</v>
      </c>
      <c r="AC127" s="168"/>
      <c r="AD127" s="168"/>
      <c r="AE127" s="168">
        <v>17</v>
      </c>
      <c r="AF127" s="168">
        <v>17.83</v>
      </c>
      <c r="AG127" s="168"/>
      <c r="AH127" s="168"/>
      <c r="AI127" s="168"/>
      <c r="AJ127" s="168"/>
      <c r="AK127" s="168">
        <v>0</v>
      </c>
      <c r="AL127" s="168">
        <v>0</v>
      </c>
    </row>
    <row r="128" spans="1:38" ht="21">
      <c r="A128" s="165">
        <v>4</v>
      </c>
      <c r="B128" s="166" t="s">
        <v>384</v>
      </c>
      <c r="C128" s="167"/>
      <c r="D128" s="167"/>
      <c r="E128" s="167"/>
      <c r="F128" s="167"/>
      <c r="G128" s="167">
        <v>0</v>
      </c>
      <c r="H128" s="167">
        <v>0</v>
      </c>
      <c r="I128" s="167">
        <v>225</v>
      </c>
      <c r="J128" s="167">
        <v>230.5</v>
      </c>
      <c r="K128" s="167"/>
      <c r="L128" s="167"/>
      <c r="M128" s="167">
        <v>225</v>
      </c>
      <c r="N128" s="167">
        <v>230.5</v>
      </c>
      <c r="O128" s="167"/>
      <c r="P128" s="167"/>
      <c r="Q128" s="167"/>
      <c r="R128" s="167"/>
      <c r="S128" s="167">
        <v>0</v>
      </c>
      <c r="T128" s="167">
        <v>0</v>
      </c>
      <c r="U128" s="168"/>
      <c r="V128" s="168"/>
      <c r="W128" s="168"/>
      <c r="X128" s="168"/>
      <c r="Y128" s="168">
        <v>0</v>
      </c>
      <c r="Z128" s="168">
        <v>0</v>
      </c>
      <c r="AA128" s="168">
        <v>228</v>
      </c>
      <c r="AB128" s="168">
        <v>210.06</v>
      </c>
      <c r="AC128" s="168"/>
      <c r="AD128" s="168"/>
      <c r="AE128" s="168">
        <v>228</v>
      </c>
      <c r="AF128" s="168">
        <v>210.06</v>
      </c>
      <c r="AG128" s="168"/>
      <c r="AH128" s="168"/>
      <c r="AI128" s="168"/>
      <c r="AJ128" s="168"/>
      <c r="AK128" s="168">
        <v>0</v>
      </c>
      <c r="AL128" s="168">
        <v>0</v>
      </c>
    </row>
    <row r="129" spans="1:38" ht="21">
      <c r="A129" s="165">
        <v>5</v>
      </c>
      <c r="B129" s="166" t="s">
        <v>396</v>
      </c>
      <c r="C129" s="167"/>
      <c r="D129" s="167"/>
      <c r="E129" s="167"/>
      <c r="F129" s="167"/>
      <c r="G129" s="167">
        <v>0</v>
      </c>
      <c r="H129" s="167">
        <v>0</v>
      </c>
      <c r="I129" s="167">
        <v>121</v>
      </c>
      <c r="J129" s="167">
        <v>102.19</v>
      </c>
      <c r="K129" s="167"/>
      <c r="L129" s="167"/>
      <c r="M129" s="167">
        <v>121</v>
      </c>
      <c r="N129" s="167">
        <v>102.19</v>
      </c>
      <c r="O129" s="167"/>
      <c r="P129" s="167"/>
      <c r="Q129" s="167"/>
      <c r="R129" s="167"/>
      <c r="S129" s="167">
        <v>0</v>
      </c>
      <c r="T129" s="167">
        <v>0</v>
      </c>
      <c r="U129" s="168"/>
      <c r="V129" s="168"/>
      <c r="W129" s="168"/>
      <c r="X129" s="168"/>
      <c r="Y129" s="168">
        <v>0</v>
      </c>
      <c r="Z129" s="168">
        <v>0</v>
      </c>
      <c r="AA129" s="168">
        <v>121</v>
      </c>
      <c r="AB129" s="168">
        <v>107.31</v>
      </c>
      <c r="AC129" s="168"/>
      <c r="AD129" s="168"/>
      <c r="AE129" s="168">
        <v>121</v>
      </c>
      <c r="AF129" s="168">
        <v>107.31</v>
      </c>
      <c r="AG129" s="168"/>
      <c r="AH129" s="168"/>
      <c r="AI129" s="168"/>
      <c r="AJ129" s="168"/>
      <c r="AK129" s="168">
        <v>0</v>
      </c>
      <c r="AL129" s="168">
        <v>0</v>
      </c>
    </row>
    <row r="130" spans="1:38" ht="21">
      <c r="A130" s="346" t="s">
        <v>14</v>
      </c>
      <c r="B130" s="347"/>
      <c r="C130" s="167">
        <f>SUM(C125:C129)</f>
        <v>0</v>
      </c>
      <c r="D130" s="167">
        <f aca="true" t="shared" si="22" ref="D130:T130">SUM(D125:D129)</f>
        <v>0</v>
      </c>
      <c r="E130" s="167">
        <f t="shared" si="22"/>
        <v>0</v>
      </c>
      <c r="F130" s="167">
        <f t="shared" si="22"/>
        <v>0</v>
      </c>
      <c r="G130" s="167">
        <f t="shared" si="22"/>
        <v>0</v>
      </c>
      <c r="H130" s="167">
        <f t="shared" si="22"/>
        <v>0</v>
      </c>
      <c r="I130" s="167">
        <f t="shared" si="22"/>
        <v>498</v>
      </c>
      <c r="J130" s="167">
        <f t="shared" si="22"/>
        <v>479.69</v>
      </c>
      <c r="K130" s="167">
        <f t="shared" si="22"/>
        <v>0</v>
      </c>
      <c r="L130" s="167">
        <f t="shared" si="22"/>
        <v>0</v>
      </c>
      <c r="M130" s="167">
        <f t="shared" si="22"/>
        <v>498</v>
      </c>
      <c r="N130" s="167">
        <f t="shared" si="22"/>
        <v>479.69</v>
      </c>
      <c r="O130" s="167">
        <f t="shared" si="22"/>
        <v>0</v>
      </c>
      <c r="P130" s="167">
        <f t="shared" si="22"/>
        <v>0</v>
      </c>
      <c r="Q130" s="167">
        <f t="shared" si="22"/>
        <v>0</v>
      </c>
      <c r="R130" s="167">
        <f t="shared" si="22"/>
        <v>0</v>
      </c>
      <c r="S130" s="167">
        <f t="shared" si="22"/>
        <v>0</v>
      </c>
      <c r="T130" s="167">
        <f t="shared" si="22"/>
        <v>0</v>
      </c>
      <c r="U130" s="168">
        <f>+U125+U126+U127+U128+U129</f>
        <v>0</v>
      </c>
      <c r="V130" s="168">
        <f aca="true" t="shared" si="23" ref="V130:AK130">+V125+V126+V127+V128+V129</f>
        <v>0</v>
      </c>
      <c r="W130" s="168">
        <f t="shared" si="23"/>
        <v>0</v>
      </c>
      <c r="X130" s="168">
        <f t="shared" si="23"/>
        <v>0</v>
      </c>
      <c r="Y130" s="168">
        <f t="shared" si="23"/>
        <v>0</v>
      </c>
      <c r="Z130" s="168">
        <f t="shared" si="23"/>
        <v>0</v>
      </c>
      <c r="AA130" s="168">
        <f t="shared" si="23"/>
        <v>501</v>
      </c>
      <c r="AB130" s="168">
        <f t="shared" si="23"/>
        <v>452.89</v>
      </c>
      <c r="AC130" s="168">
        <f t="shared" si="23"/>
        <v>0</v>
      </c>
      <c r="AD130" s="168">
        <f t="shared" si="23"/>
        <v>0</v>
      </c>
      <c r="AE130" s="168">
        <f t="shared" si="23"/>
        <v>501</v>
      </c>
      <c r="AF130" s="168">
        <f t="shared" si="23"/>
        <v>452.89</v>
      </c>
      <c r="AG130" s="168">
        <f t="shared" si="23"/>
        <v>0</v>
      </c>
      <c r="AH130" s="168">
        <f t="shared" si="23"/>
        <v>0</v>
      </c>
      <c r="AI130" s="168">
        <f t="shared" si="23"/>
        <v>0</v>
      </c>
      <c r="AJ130" s="168">
        <f t="shared" si="23"/>
        <v>0</v>
      </c>
      <c r="AK130" s="168">
        <f t="shared" si="23"/>
        <v>0</v>
      </c>
      <c r="AL130" s="168">
        <f>+AL125+AL126+AL127+AL128+AL129</f>
        <v>0</v>
      </c>
    </row>
    <row r="131" spans="1:38" ht="21">
      <c r="A131" s="337" t="s">
        <v>328</v>
      </c>
      <c r="B131" s="338"/>
      <c r="C131" s="338"/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9"/>
    </row>
    <row r="132" spans="1:38" ht="21">
      <c r="A132" s="337" t="s">
        <v>290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9"/>
    </row>
    <row r="133" spans="1:38" ht="21">
      <c r="A133" s="340" t="s">
        <v>330</v>
      </c>
      <c r="B133" s="340" t="s">
        <v>331</v>
      </c>
      <c r="C133" s="343" t="s">
        <v>332</v>
      </c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5"/>
      <c r="U133" s="343" t="s">
        <v>333</v>
      </c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5"/>
    </row>
    <row r="134" spans="1:38" ht="21">
      <c r="A134" s="341"/>
      <c r="B134" s="341"/>
      <c r="C134" s="343" t="s">
        <v>195</v>
      </c>
      <c r="D134" s="344"/>
      <c r="E134" s="344"/>
      <c r="F134" s="344"/>
      <c r="G134" s="344"/>
      <c r="H134" s="345"/>
      <c r="I134" s="343" t="s">
        <v>334</v>
      </c>
      <c r="J134" s="344"/>
      <c r="K134" s="344"/>
      <c r="L134" s="344"/>
      <c r="M134" s="344"/>
      <c r="N134" s="345"/>
      <c r="O134" s="343" t="s">
        <v>335</v>
      </c>
      <c r="P134" s="344"/>
      <c r="Q134" s="344"/>
      <c r="R134" s="344"/>
      <c r="S134" s="344"/>
      <c r="T134" s="345"/>
      <c r="U134" s="343" t="s">
        <v>195</v>
      </c>
      <c r="V134" s="344"/>
      <c r="W134" s="344"/>
      <c r="X134" s="344"/>
      <c r="Y134" s="344"/>
      <c r="Z134" s="345"/>
      <c r="AA134" s="343" t="s">
        <v>334</v>
      </c>
      <c r="AB134" s="344"/>
      <c r="AC134" s="344"/>
      <c r="AD134" s="344"/>
      <c r="AE134" s="344"/>
      <c r="AF134" s="345"/>
      <c r="AG134" s="343" t="s">
        <v>335</v>
      </c>
      <c r="AH134" s="344"/>
      <c r="AI134" s="344"/>
      <c r="AJ134" s="344"/>
      <c r="AK134" s="344"/>
      <c r="AL134" s="345"/>
    </row>
    <row r="135" spans="1:38" ht="21">
      <c r="A135" s="341"/>
      <c r="B135" s="341"/>
      <c r="C135" s="343" t="s">
        <v>336</v>
      </c>
      <c r="D135" s="345"/>
      <c r="E135" s="343" t="s">
        <v>337</v>
      </c>
      <c r="F135" s="345"/>
      <c r="G135" s="343" t="s">
        <v>14</v>
      </c>
      <c r="H135" s="345"/>
      <c r="I135" s="343" t="s">
        <v>336</v>
      </c>
      <c r="J135" s="345"/>
      <c r="K135" s="343" t="s">
        <v>337</v>
      </c>
      <c r="L135" s="345"/>
      <c r="M135" s="343" t="s">
        <v>14</v>
      </c>
      <c r="N135" s="345"/>
      <c r="O135" s="343" t="s">
        <v>336</v>
      </c>
      <c r="P135" s="345"/>
      <c r="Q135" s="343" t="s">
        <v>337</v>
      </c>
      <c r="R135" s="345"/>
      <c r="S135" s="343" t="s">
        <v>14</v>
      </c>
      <c r="T135" s="345"/>
      <c r="U135" s="343" t="s">
        <v>336</v>
      </c>
      <c r="V135" s="345"/>
      <c r="W135" s="343" t="s">
        <v>337</v>
      </c>
      <c r="X135" s="345"/>
      <c r="Y135" s="343" t="s">
        <v>14</v>
      </c>
      <c r="Z135" s="345"/>
      <c r="AA135" s="343" t="s">
        <v>336</v>
      </c>
      <c r="AB135" s="345"/>
      <c r="AC135" s="343" t="s">
        <v>337</v>
      </c>
      <c r="AD135" s="345"/>
      <c r="AE135" s="343" t="s">
        <v>14</v>
      </c>
      <c r="AF135" s="345"/>
      <c r="AG135" s="343" t="s">
        <v>336</v>
      </c>
      <c r="AH135" s="345"/>
      <c r="AI135" s="343" t="s">
        <v>337</v>
      </c>
      <c r="AJ135" s="345"/>
      <c r="AK135" s="343" t="s">
        <v>14</v>
      </c>
      <c r="AL135" s="345"/>
    </row>
    <row r="136" spans="1:38" ht="63">
      <c r="A136" s="342"/>
      <c r="B136" s="342"/>
      <c r="C136" s="167" t="s">
        <v>338</v>
      </c>
      <c r="D136" s="167" t="s">
        <v>339</v>
      </c>
      <c r="E136" s="167" t="s">
        <v>338</v>
      </c>
      <c r="F136" s="167" t="s">
        <v>339</v>
      </c>
      <c r="G136" s="167" t="s">
        <v>338</v>
      </c>
      <c r="H136" s="167" t="s">
        <v>339</v>
      </c>
      <c r="I136" s="167" t="s">
        <v>338</v>
      </c>
      <c r="J136" s="167" t="s">
        <v>339</v>
      </c>
      <c r="K136" s="167" t="s">
        <v>338</v>
      </c>
      <c r="L136" s="167" t="s">
        <v>339</v>
      </c>
      <c r="M136" s="167" t="s">
        <v>338</v>
      </c>
      <c r="N136" s="167" t="s">
        <v>339</v>
      </c>
      <c r="O136" s="167" t="s">
        <v>338</v>
      </c>
      <c r="P136" s="167" t="s">
        <v>339</v>
      </c>
      <c r="Q136" s="167" t="s">
        <v>338</v>
      </c>
      <c r="R136" s="167" t="s">
        <v>339</v>
      </c>
      <c r="S136" s="167" t="s">
        <v>338</v>
      </c>
      <c r="T136" s="167" t="s">
        <v>339</v>
      </c>
      <c r="U136" s="168" t="s">
        <v>338</v>
      </c>
      <c r="V136" s="168" t="s">
        <v>339</v>
      </c>
      <c r="W136" s="168" t="s">
        <v>338</v>
      </c>
      <c r="X136" s="168" t="s">
        <v>339</v>
      </c>
      <c r="Y136" s="168" t="s">
        <v>338</v>
      </c>
      <c r="Z136" s="168" t="s">
        <v>339</v>
      </c>
      <c r="AA136" s="168" t="s">
        <v>338</v>
      </c>
      <c r="AB136" s="168" t="s">
        <v>339</v>
      </c>
      <c r="AC136" s="168" t="s">
        <v>338</v>
      </c>
      <c r="AD136" s="168" t="s">
        <v>339</v>
      </c>
      <c r="AE136" s="168" t="s">
        <v>338</v>
      </c>
      <c r="AF136" s="168" t="s">
        <v>339</v>
      </c>
      <c r="AG136" s="168" t="s">
        <v>338</v>
      </c>
      <c r="AH136" s="168" t="s">
        <v>339</v>
      </c>
      <c r="AI136" s="168" t="s">
        <v>338</v>
      </c>
      <c r="AJ136" s="168" t="s">
        <v>339</v>
      </c>
      <c r="AK136" s="168" t="s">
        <v>338</v>
      </c>
      <c r="AL136" s="168" t="s">
        <v>339</v>
      </c>
    </row>
    <row r="137" spans="1:38" ht="21">
      <c r="A137" s="165">
        <v>1</v>
      </c>
      <c r="B137" s="166" t="s">
        <v>397</v>
      </c>
      <c r="C137" s="167"/>
      <c r="D137" s="167"/>
      <c r="E137" s="167"/>
      <c r="F137" s="167"/>
      <c r="G137" s="167">
        <v>0</v>
      </c>
      <c r="H137" s="167">
        <v>0</v>
      </c>
      <c r="I137" s="167">
        <v>8</v>
      </c>
      <c r="J137" s="167">
        <v>7.11</v>
      </c>
      <c r="K137" s="167"/>
      <c r="L137" s="167"/>
      <c r="M137" s="167">
        <v>8</v>
      </c>
      <c r="N137" s="167">
        <v>7.11</v>
      </c>
      <c r="O137" s="167"/>
      <c r="P137" s="167"/>
      <c r="Q137" s="167"/>
      <c r="R137" s="167"/>
      <c r="S137" s="167">
        <v>0</v>
      </c>
      <c r="T137" s="167">
        <v>0</v>
      </c>
      <c r="U137" s="168"/>
      <c r="V137" s="168"/>
      <c r="W137" s="168"/>
      <c r="X137" s="168"/>
      <c r="Y137" s="168">
        <v>0</v>
      </c>
      <c r="Z137" s="168">
        <v>0</v>
      </c>
      <c r="AA137" s="168">
        <v>8</v>
      </c>
      <c r="AB137" s="168">
        <v>3.78</v>
      </c>
      <c r="AC137" s="168"/>
      <c r="AD137" s="168"/>
      <c r="AE137" s="168">
        <v>8</v>
      </c>
      <c r="AF137" s="168">
        <v>3.78</v>
      </c>
      <c r="AG137" s="168"/>
      <c r="AH137" s="168"/>
      <c r="AI137" s="168"/>
      <c r="AJ137" s="168"/>
      <c r="AK137" s="168">
        <v>0</v>
      </c>
      <c r="AL137" s="168">
        <v>0</v>
      </c>
    </row>
    <row r="138" spans="1:38" ht="21">
      <c r="A138" s="165">
        <v>2</v>
      </c>
      <c r="B138" s="166" t="s">
        <v>398</v>
      </c>
      <c r="C138" s="167"/>
      <c r="D138" s="167"/>
      <c r="E138" s="167"/>
      <c r="F138" s="167"/>
      <c r="G138" s="167">
        <v>0</v>
      </c>
      <c r="H138" s="167">
        <v>0</v>
      </c>
      <c r="I138" s="167">
        <v>91</v>
      </c>
      <c r="J138" s="167">
        <v>84.5</v>
      </c>
      <c r="K138" s="167"/>
      <c r="L138" s="167"/>
      <c r="M138" s="167">
        <v>91</v>
      </c>
      <c r="N138" s="167">
        <v>84.5</v>
      </c>
      <c r="O138" s="167"/>
      <c r="P138" s="167"/>
      <c r="Q138" s="167"/>
      <c r="R138" s="167"/>
      <c r="S138" s="167">
        <v>0</v>
      </c>
      <c r="T138" s="167">
        <v>0</v>
      </c>
      <c r="U138" s="168"/>
      <c r="V138" s="168"/>
      <c r="W138" s="168"/>
      <c r="X138" s="168"/>
      <c r="Y138" s="168">
        <v>0</v>
      </c>
      <c r="Z138" s="168">
        <v>0</v>
      </c>
      <c r="AA138" s="168">
        <v>91</v>
      </c>
      <c r="AB138" s="168">
        <v>70.44</v>
      </c>
      <c r="AC138" s="168"/>
      <c r="AD138" s="168"/>
      <c r="AE138" s="168">
        <v>91</v>
      </c>
      <c r="AF138" s="168">
        <v>70.44</v>
      </c>
      <c r="AG138" s="168"/>
      <c r="AH138" s="168"/>
      <c r="AI138" s="168"/>
      <c r="AJ138" s="168"/>
      <c r="AK138" s="168">
        <v>0</v>
      </c>
      <c r="AL138" s="168">
        <v>0</v>
      </c>
    </row>
    <row r="139" spans="1:38" ht="21">
      <c r="A139" s="165">
        <v>3</v>
      </c>
      <c r="B139" s="166" t="s">
        <v>399</v>
      </c>
      <c r="C139" s="167"/>
      <c r="D139" s="167"/>
      <c r="E139" s="167"/>
      <c r="F139" s="167"/>
      <c r="G139" s="167">
        <v>0</v>
      </c>
      <c r="H139" s="167">
        <v>0</v>
      </c>
      <c r="I139" s="167">
        <v>138</v>
      </c>
      <c r="J139" s="167">
        <v>131.44</v>
      </c>
      <c r="K139" s="167"/>
      <c r="L139" s="167"/>
      <c r="M139" s="167">
        <v>138</v>
      </c>
      <c r="N139" s="167">
        <v>131.44</v>
      </c>
      <c r="O139" s="167"/>
      <c r="P139" s="167"/>
      <c r="Q139" s="167"/>
      <c r="R139" s="167"/>
      <c r="S139" s="167">
        <v>0</v>
      </c>
      <c r="T139" s="167">
        <v>0</v>
      </c>
      <c r="U139" s="168"/>
      <c r="V139" s="168"/>
      <c r="W139" s="168"/>
      <c r="X139" s="168"/>
      <c r="Y139" s="168">
        <v>0</v>
      </c>
      <c r="Z139" s="168">
        <v>0</v>
      </c>
      <c r="AA139" s="168">
        <v>141</v>
      </c>
      <c r="AB139" s="168">
        <v>106.56</v>
      </c>
      <c r="AC139" s="168"/>
      <c r="AD139" s="168"/>
      <c r="AE139" s="168">
        <v>141</v>
      </c>
      <c r="AF139" s="168">
        <v>106.56</v>
      </c>
      <c r="AG139" s="168"/>
      <c r="AH139" s="168"/>
      <c r="AI139" s="168"/>
      <c r="AJ139" s="168"/>
      <c r="AK139" s="168">
        <v>0</v>
      </c>
      <c r="AL139" s="168">
        <v>0</v>
      </c>
    </row>
    <row r="140" spans="1:38" ht="21">
      <c r="A140" s="165">
        <v>4</v>
      </c>
      <c r="B140" s="166" t="s">
        <v>370</v>
      </c>
      <c r="C140" s="167"/>
      <c r="D140" s="167"/>
      <c r="E140" s="167"/>
      <c r="F140" s="167"/>
      <c r="G140" s="167">
        <v>0</v>
      </c>
      <c r="H140" s="167">
        <v>0</v>
      </c>
      <c r="I140" s="167">
        <v>140</v>
      </c>
      <c r="J140" s="167">
        <v>141.56</v>
      </c>
      <c r="K140" s="167"/>
      <c r="L140" s="167"/>
      <c r="M140" s="167">
        <v>140</v>
      </c>
      <c r="N140" s="167">
        <v>141.56</v>
      </c>
      <c r="O140" s="167"/>
      <c r="P140" s="167"/>
      <c r="Q140" s="167"/>
      <c r="R140" s="167"/>
      <c r="S140" s="167">
        <v>0</v>
      </c>
      <c r="T140" s="167">
        <v>0</v>
      </c>
      <c r="U140" s="168"/>
      <c r="V140" s="168"/>
      <c r="W140" s="168"/>
      <c r="X140" s="168"/>
      <c r="Y140" s="168">
        <v>0</v>
      </c>
      <c r="Z140" s="168">
        <v>0</v>
      </c>
      <c r="AA140" s="168">
        <v>141</v>
      </c>
      <c r="AB140" s="168">
        <v>140.92</v>
      </c>
      <c r="AC140" s="168"/>
      <c r="AD140" s="168"/>
      <c r="AE140" s="168">
        <v>141</v>
      </c>
      <c r="AF140" s="168">
        <v>140.92</v>
      </c>
      <c r="AG140" s="168"/>
      <c r="AH140" s="168"/>
      <c r="AI140" s="168"/>
      <c r="AJ140" s="168"/>
      <c r="AK140" s="168">
        <v>0</v>
      </c>
      <c r="AL140" s="168">
        <v>0</v>
      </c>
    </row>
    <row r="141" spans="1:38" ht="21">
      <c r="A141" s="165">
        <v>5</v>
      </c>
      <c r="B141" s="166" t="s">
        <v>381</v>
      </c>
      <c r="C141" s="167"/>
      <c r="D141" s="167"/>
      <c r="E141" s="167"/>
      <c r="F141" s="167"/>
      <c r="G141" s="167">
        <v>0</v>
      </c>
      <c r="H141" s="167">
        <v>0</v>
      </c>
      <c r="I141" s="167">
        <v>57</v>
      </c>
      <c r="J141" s="167">
        <v>40.83</v>
      </c>
      <c r="K141" s="167"/>
      <c r="L141" s="167"/>
      <c r="M141" s="167">
        <v>57</v>
      </c>
      <c r="N141" s="167">
        <v>40.83</v>
      </c>
      <c r="O141" s="167"/>
      <c r="P141" s="167"/>
      <c r="Q141" s="167"/>
      <c r="R141" s="167"/>
      <c r="S141" s="167">
        <v>0</v>
      </c>
      <c r="T141" s="167">
        <v>0</v>
      </c>
      <c r="U141" s="168"/>
      <c r="V141" s="168"/>
      <c r="W141" s="168"/>
      <c r="X141" s="168"/>
      <c r="Y141" s="168">
        <v>0</v>
      </c>
      <c r="Z141" s="168">
        <v>0</v>
      </c>
      <c r="AA141" s="168">
        <v>57</v>
      </c>
      <c r="AB141" s="168">
        <v>75.42</v>
      </c>
      <c r="AC141" s="168"/>
      <c r="AD141" s="168"/>
      <c r="AE141" s="168">
        <v>57</v>
      </c>
      <c r="AF141" s="168">
        <v>75.42</v>
      </c>
      <c r="AG141" s="168"/>
      <c r="AH141" s="168"/>
      <c r="AI141" s="168"/>
      <c r="AJ141" s="168"/>
      <c r="AK141" s="168">
        <v>0</v>
      </c>
      <c r="AL141" s="168">
        <v>0</v>
      </c>
    </row>
    <row r="142" spans="1:38" ht="21">
      <c r="A142" s="165">
        <v>6</v>
      </c>
      <c r="B142" s="166" t="s">
        <v>400</v>
      </c>
      <c r="C142" s="167"/>
      <c r="D142" s="167"/>
      <c r="E142" s="167"/>
      <c r="F142" s="167"/>
      <c r="G142" s="167">
        <v>0</v>
      </c>
      <c r="H142" s="167">
        <v>0</v>
      </c>
      <c r="I142" s="167">
        <v>31</v>
      </c>
      <c r="J142" s="167">
        <v>31.58</v>
      </c>
      <c r="K142" s="167"/>
      <c r="L142" s="167"/>
      <c r="M142" s="167">
        <v>31</v>
      </c>
      <c r="N142" s="167">
        <v>31.58</v>
      </c>
      <c r="O142" s="167"/>
      <c r="P142" s="167"/>
      <c r="Q142" s="167"/>
      <c r="R142" s="167"/>
      <c r="S142" s="167">
        <v>0</v>
      </c>
      <c r="T142" s="167">
        <v>0</v>
      </c>
      <c r="U142" s="168"/>
      <c r="V142" s="168"/>
      <c r="W142" s="168"/>
      <c r="X142" s="168"/>
      <c r="Y142" s="168">
        <v>0</v>
      </c>
      <c r="Z142" s="168">
        <v>0</v>
      </c>
      <c r="AA142" s="168">
        <v>31</v>
      </c>
      <c r="AB142" s="168">
        <v>26.39</v>
      </c>
      <c r="AC142" s="168"/>
      <c r="AD142" s="168"/>
      <c r="AE142" s="168">
        <v>31</v>
      </c>
      <c r="AF142" s="168">
        <v>26.39</v>
      </c>
      <c r="AG142" s="168"/>
      <c r="AH142" s="168"/>
      <c r="AI142" s="168"/>
      <c r="AJ142" s="168"/>
      <c r="AK142" s="168">
        <v>0</v>
      </c>
      <c r="AL142" s="168">
        <v>0</v>
      </c>
    </row>
    <row r="143" spans="1:38" ht="21">
      <c r="A143" s="346" t="s">
        <v>14</v>
      </c>
      <c r="B143" s="347"/>
      <c r="C143" s="167">
        <f>SUM(C137:C142)</f>
        <v>0</v>
      </c>
      <c r="D143" s="167">
        <f aca="true" t="shared" si="24" ref="D143:T143">SUM(D137:D142)</f>
        <v>0</v>
      </c>
      <c r="E143" s="167">
        <f t="shared" si="24"/>
        <v>0</v>
      </c>
      <c r="F143" s="167">
        <f t="shared" si="24"/>
        <v>0</v>
      </c>
      <c r="G143" s="167">
        <f t="shared" si="24"/>
        <v>0</v>
      </c>
      <c r="H143" s="167">
        <f t="shared" si="24"/>
        <v>0</v>
      </c>
      <c r="I143" s="167">
        <f t="shared" si="24"/>
        <v>465</v>
      </c>
      <c r="J143" s="167">
        <f t="shared" si="24"/>
        <v>437.02</v>
      </c>
      <c r="K143" s="167">
        <f t="shared" si="24"/>
        <v>0</v>
      </c>
      <c r="L143" s="167">
        <f t="shared" si="24"/>
        <v>0</v>
      </c>
      <c r="M143" s="167">
        <f t="shared" si="24"/>
        <v>465</v>
      </c>
      <c r="N143" s="167">
        <f t="shared" si="24"/>
        <v>437.02</v>
      </c>
      <c r="O143" s="167">
        <f t="shared" si="24"/>
        <v>0</v>
      </c>
      <c r="P143" s="167">
        <f t="shared" si="24"/>
        <v>0</v>
      </c>
      <c r="Q143" s="167">
        <f t="shared" si="24"/>
        <v>0</v>
      </c>
      <c r="R143" s="167">
        <f t="shared" si="24"/>
        <v>0</v>
      </c>
      <c r="S143" s="167">
        <f t="shared" si="24"/>
        <v>0</v>
      </c>
      <c r="T143" s="167">
        <f t="shared" si="24"/>
        <v>0</v>
      </c>
      <c r="U143" s="168">
        <f>+U137+U138+U139+U140+U141+U142</f>
        <v>0</v>
      </c>
      <c r="V143" s="168">
        <f aca="true" t="shared" si="25" ref="V143:AL143">+V137+V138+V139+V140+V141+V142</f>
        <v>0</v>
      </c>
      <c r="W143" s="168">
        <f t="shared" si="25"/>
        <v>0</v>
      </c>
      <c r="X143" s="168">
        <f t="shared" si="25"/>
        <v>0</v>
      </c>
      <c r="Y143" s="168">
        <f t="shared" si="25"/>
        <v>0</v>
      </c>
      <c r="Z143" s="168">
        <f t="shared" si="25"/>
        <v>0</v>
      </c>
      <c r="AA143" s="168">
        <f t="shared" si="25"/>
        <v>469</v>
      </c>
      <c r="AB143" s="168">
        <f t="shared" si="25"/>
        <v>423.51</v>
      </c>
      <c r="AC143" s="168">
        <f t="shared" si="25"/>
        <v>0</v>
      </c>
      <c r="AD143" s="168">
        <f t="shared" si="25"/>
        <v>0</v>
      </c>
      <c r="AE143" s="168">
        <f t="shared" si="25"/>
        <v>469</v>
      </c>
      <c r="AF143" s="168">
        <f t="shared" si="25"/>
        <v>423.51</v>
      </c>
      <c r="AG143" s="168">
        <f t="shared" si="25"/>
        <v>0</v>
      </c>
      <c r="AH143" s="168">
        <f t="shared" si="25"/>
        <v>0</v>
      </c>
      <c r="AI143" s="168">
        <f t="shared" si="25"/>
        <v>0</v>
      </c>
      <c r="AJ143" s="168">
        <f t="shared" si="25"/>
        <v>0</v>
      </c>
      <c r="AK143" s="168">
        <f t="shared" si="25"/>
        <v>0</v>
      </c>
      <c r="AL143" s="168">
        <f t="shared" si="25"/>
        <v>0</v>
      </c>
    </row>
    <row r="144" spans="1:38" ht="21">
      <c r="A144" s="337" t="s">
        <v>328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9"/>
    </row>
    <row r="145" spans="1:38" ht="21">
      <c r="A145" s="337" t="s">
        <v>401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9"/>
    </row>
    <row r="146" spans="1:38" ht="21">
      <c r="A146" s="340" t="s">
        <v>330</v>
      </c>
      <c r="B146" s="340" t="s">
        <v>331</v>
      </c>
      <c r="C146" s="343" t="s">
        <v>332</v>
      </c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5"/>
      <c r="U146" s="343" t="s">
        <v>333</v>
      </c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5"/>
    </row>
    <row r="147" spans="1:38" ht="21">
      <c r="A147" s="341"/>
      <c r="B147" s="341"/>
      <c r="C147" s="343" t="s">
        <v>195</v>
      </c>
      <c r="D147" s="344"/>
      <c r="E147" s="344"/>
      <c r="F147" s="344"/>
      <c r="G147" s="344"/>
      <c r="H147" s="345"/>
      <c r="I147" s="343" t="s">
        <v>334</v>
      </c>
      <c r="J147" s="344"/>
      <c r="K147" s="344"/>
      <c r="L147" s="344"/>
      <c r="M147" s="344"/>
      <c r="N147" s="345"/>
      <c r="O147" s="343" t="s">
        <v>335</v>
      </c>
      <c r="P147" s="344"/>
      <c r="Q147" s="344"/>
      <c r="R147" s="344"/>
      <c r="S147" s="344"/>
      <c r="T147" s="345"/>
      <c r="U147" s="343" t="s">
        <v>195</v>
      </c>
      <c r="V147" s="344"/>
      <c r="W147" s="344"/>
      <c r="X147" s="344"/>
      <c r="Y147" s="344"/>
      <c r="Z147" s="345"/>
      <c r="AA147" s="343" t="s">
        <v>334</v>
      </c>
      <c r="AB147" s="344"/>
      <c r="AC147" s="344"/>
      <c r="AD147" s="344"/>
      <c r="AE147" s="344"/>
      <c r="AF147" s="345"/>
      <c r="AG147" s="343" t="s">
        <v>335</v>
      </c>
      <c r="AH147" s="344"/>
      <c r="AI147" s="344"/>
      <c r="AJ147" s="344"/>
      <c r="AK147" s="344"/>
      <c r="AL147" s="345"/>
    </row>
    <row r="148" spans="1:38" ht="21">
      <c r="A148" s="341"/>
      <c r="B148" s="341"/>
      <c r="C148" s="343" t="s">
        <v>336</v>
      </c>
      <c r="D148" s="345"/>
      <c r="E148" s="343" t="s">
        <v>337</v>
      </c>
      <c r="F148" s="345"/>
      <c r="G148" s="343" t="s">
        <v>14</v>
      </c>
      <c r="H148" s="345"/>
      <c r="I148" s="343" t="s">
        <v>336</v>
      </c>
      <c r="J148" s="345"/>
      <c r="K148" s="343" t="s">
        <v>337</v>
      </c>
      <c r="L148" s="345"/>
      <c r="M148" s="343" t="s">
        <v>14</v>
      </c>
      <c r="N148" s="345"/>
      <c r="O148" s="343" t="s">
        <v>336</v>
      </c>
      <c r="P148" s="345"/>
      <c r="Q148" s="343" t="s">
        <v>337</v>
      </c>
      <c r="R148" s="345"/>
      <c r="S148" s="343" t="s">
        <v>14</v>
      </c>
      <c r="T148" s="345"/>
      <c r="U148" s="343" t="s">
        <v>336</v>
      </c>
      <c r="V148" s="345"/>
      <c r="W148" s="343" t="s">
        <v>337</v>
      </c>
      <c r="X148" s="345"/>
      <c r="Y148" s="343" t="s">
        <v>14</v>
      </c>
      <c r="Z148" s="345"/>
      <c r="AA148" s="343" t="s">
        <v>336</v>
      </c>
      <c r="AB148" s="345"/>
      <c r="AC148" s="343" t="s">
        <v>337</v>
      </c>
      <c r="AD148" s="345"/>
      <c r="AE148" s="343" t="s">
        <v>14</v>
      </c>
      <c r="AF148" s="345"/>
      <c r="AG148" s="343" t="s">
        <v>336</v>
      </c>
      <c r="AH148" s="345"/>
      <c r="AI148" s="343" t="s">
        <v>337</v>
      </c>
      <c r="AJ148" s="345"/>
      <c r="AK148" s="343" t="s">
        <v>14</v>
      </c>
      <c r="AL148" s="345"/>
    </row>
    <row r="149" spans="1:38" ht="63">
      <c r="A149" s="342"/>
      <c r="B149" s="342"/>
      <c r="C149" s="167" t="s">
        <v>338</v>
      </c>
      <c r="D149" s="167" t="s">
        <v>339</v>
      </c>
      <c r="E149" s="167" t="s">
        <v>338</v>
      </c>
      <c r="F149" s="167" t="s">
        <v>339</v>
      </c>
      <c r="G149" s="167" t="s">
        <v>338</v>
      </c>
      <c r="H149" s="167" t="s">
        <v>339</v>
      </c>
      <c r="I149" s="167" t="s">
        <v>338</v>
      </c>
      <c r="J149" s="167" t="s">
        <v>339</v>
      </c>
      <c r="K149" s="167" t="s">
        <v>338</v>
      </c>
      <c r="L149" s="167" t="s">
        <v>339</v>
      </c>
      <c r="M149" s="167" t="s">
        <v>338</v>
      </c>
      <c r="N149" s="167" t="s">
        <v>339</v>
      </c>
      <c r="O149" s="167" t="s">
        <v>338</v>
      </c>
      <c r="P149" s="167" t="s">
        <v>339</v>
      </c>
      <c r="Q149" s="167" t="s">
        <v>338</v>
      </c>
      <c r="R149" s="167" t="s">
        <v>339</v>
      </c>
      <c r="S149" s="167" t="s">
        <v>338</v>
      </c>
      <c r="T149" s="167" t="s">
        <v>339</v>
      </c>
      <c r="U149" s="168" t="s">
        <v>338</v>
      </c>
      <c r="V149" s="168" t="s">
        <v>339</v>
      </c>
      <c r="W149" s="168" t="s">
        <v>338</v>
      </c>
      <c r="X149" s="168" t="s">
        <v>339</v>
      </c>
      <c r="Y149" s="168" t="s">
        <v>338</v>
      </c>
      <c r="Z149" s="168" t="s">
        <v>339</v>
      </c>
      <c r="AA149" s="168" t="s">
        <v>338</v>
      </c>
      <c r="AB149" s="168" t="s">
        <v>339</v>
      </c>
      <c r="AC149" s="168" t="s">
        <v>338</v>
      </c>
      <c r="AD149" s="168" t="s">
        <v>339</v>
      </c>
      <c r="AE149" s="168" t="s">
        <v>338</v>
      </c>
      <c r="AF149" s="168" t="s">
        <v>339</v>
      </c>
      <c r="AG149" s="168" t="s">
        <v>338</v>
      </c>
      <c r="AH149" s="168" t="s">
        <v>339</v>
      </c>
      <c r="AI149" s="168" t="s">
        <v>338</v>
      </c>
      <c r="AJ149" s="168" t="s">
        <v>339</v>
      </c>
      <c r="AK149" s="168" t="s">
        <v>338</v>
      </c>
      <c r="AL149" s="168" t="s">
        <v>339</v>
      </c>
    </row>
    <row r="150" spans="1:38" ht="21">
      <c r="A150" s="165">
        <v>1</v>
      </c>
      <c r="B150" s="166" t="s">
        <v>402</v>
      </c>
      <c r="C150" s="167"/>
      <c r="D150" s="167"/>
      <c r="E150" s="167"/>
      <c r="F150" s="167"/>
      <c r="G150" s="167">
        <v>0</v>
      </c>
      <c r="H150" s="167">
        <v>0</v>
      </c>
      <c r="I150" s="167"/>
      <c r="J150" s="167"/>
      <c r="K150" s="167"/>
      <c r="L150" s="167"/>
      <c r="M150" s="167">
        <v>0</v>
      </c>
      <c r="N150" s="167">
        <v>0</v>
      </c>
      <c r="O150" s="167"/>
      <c r="P150" s="167"/>
      <c r="Q150" s="167"/>
      <c r="R150" s="167"/>
      <c r="S150" s="167">
        <v>0</v>
      </c>
      <c r="T150" s="167">
        <v>0</v>
      </c>
      <c r="U150" s="168"/>
      <c r="V150" s="168"/>
      <c r="W150" s="168"/>
      <c r="X150" s="168"/>
      <c r="Y150" s="168">
        <v>0</v>
      </c>
      <c r="Z150" s="168">
        <v>0</v>
      </c>
      <c r="AA150" s="168"/>
      <c r="AB150" s="168"/>
      <c r="AC150" s="168"/>
      <c r="AD150" s="168"/>
      <c r="AE150" s="168">
        <v>0</v>
      </c>
      <c r="AF150" s="168">
        <v>0</v>
      </c>
      <c r="AG150" s="168"/>
      <c r="AH150" s="168"/>
      <c r="AI150" s="168"/>
      <c r="AJ150" s="168"/>
      <c r="AK150" s="168">
        <v>0</v>
      </c>
      <c r="AL150" s="168">
        <v>0</v>
      </c>
    </row>
    <row r="151" spans="1:38" ht="21">
      <c r="A151" s="346" t="s">
        <v>14</v>
      </c>
      <c r="B151" s="347"/>
      <c r="C151" s="167">
        <f>SUM(C150)</f>
        <v>0</v>
      </c>
      <c r="D151" s="167">
        <f aca="true" t="shared" si="26" ref="D151:T151">SUM(D150)</f>
        <v>0</v>
      </c>
      <c r="E151" s="167">
        <f t="shared" si="26"/>
        <v>0</v>
      </c>
      <c r="F151" s="167">
        <f t="shared" si="26"/>
        <v>0</v>
      </c>
      <c r="G151" s="167">
        <f t="shared" si="26"/>
        <v>0</v>
      </c>
      <c r="H151" s="167">
        <f t="shared" si="26"/>
        <v>0</v>
      </c>
      <c r="I151" s="167">
        <f t="shared" si="26"/>
        <v>0</v>
      </c>
      <c r="J151" s="167">
        <f t="shared" si="26"/>
        <v>0</v>
      </c>
      <c r="K151" s="167">
        <f t="shared" si="26"/>
        <v>0</v>
      </c>
      <c r="L151" s="167">
        <f t="shared" si="26"/>
        <v>0</v>
      </c>
      <c r="M151" s="167">
        <f t="shared" si="26"/>
        <v>0</v>
      </c>
      <c r="N151" s="167">
        <f t="shared" si="26"/>
        <v>0</v>
      </c>
      <c r="O151" s="167">
        <f t="shared" si="26"/>
        <v>0</v>
      </c>
      <c r="P151" s="167">
        <f t="shared" si="26"/>
        <v>0</v>
      </c>
      <c r="Q151" s="167">
        <f t="shared" si="26"/>
        <v>0</v>
      </c>
      <c r="R151" s="167">
        <f t="shared" si="26"/>
        <v>0</v>
      </c>
      <c r="S151" s="167">
        <f t="shared" si="26"/>
        <v>0</v>
      </c>
      <c r="T151" s="167">
        <f t="shared" si="26"/>
        <v>0</v>
      </c>
      <c r="U151" s="168">
        <f>+U150</f>
        <v>0</v>
      </c>
      <c r="V151" s="168">
        <f aca="true" t="shared" si="27" ref="V151:AL151">+V150</f>
        <v>0</v>
      </c>
      <c r="W151" s="168">
        <f t="shared" si="27"/>
        <v>0</v>
      </c>
      <c r="X151" s="168">
        <f t="shared" si="27"/>
        <v>0</v>
      </c>
      <c r="Y151" s="168">
        <f t="shared" si="27"/>
        <v>0</v>
      </c>
      <c r="Z151" s="168">
        <f t="shared" si="27"/>
        <v>0</v>
      </c>
      <c r="AA151" s="168">
        <f t="shared" si="27"/>
        <v>0</v>
      </c>
      <c r="AB151" s="168">
        <f t="shared" si="27"/>
        <v>0</v>
      </c>
      <c r="AC151" s="168">
        <f t="shared" si="27"/>
        <v>0</v>
      </c>
      <c r="AD151" s="168">
        <f t="shared" si="27"/>
        <v>0</v>
      </c>
      <c r="AE151" s="168">
        <f t="shared" si="27"/>
        <v>0</v>
      </c>
      <c r="AF151" s="168">
        <f t="shared" si="27"/>
        <v>0</v>
      </c>
      <c r="AG151" s="168">
        <f t="shared" si="27"/>
        <v>0</v>
      </c>
      <c r="AH151" s="168">
        <f t="shared" si="27"/>
        <v>0</v>
      </c>
      <c r="AI151" s="168">
        <f t="shared" si="27"/>
        <v>0</v>
      </c>
      <c r="AJ151" s="168">
        <f t="shared" si="27"/>
        <v>0</v>
      </c>
      <c r="AK151" s="168">
        <f t="shared" si="27"/>
        <v>0</v>
      </c>
      <c r="AL151" s="168">
        <f t="shared" si="27"/>
        <v>0</v>
      </c>
    </row>
    <row r="152" spans="1:38" ht="21">
      <c r="A152" s="337" t="s">
        <v>328</v>
      </c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338"/>
      <c r="AK152" s="338"/>
      <c r="AL152" s="339"/>
    </row>
    <row r="153" spans="1:38" ht="21">
      <c r="A153" s="337" t="s">
        <v>403</v>
      </c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9"/>
    </row>
    <row r="154" spans="1:38" ht="21">
      <c r="A154" s="340" t="s">
        <v>330</v>
      </c>
      <c r="B154" s="340" t="s">
        <v>331</v>
      </c>
      <c r="C154" s="343" t="s">
        <v>332</v>
      </c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5"/>
      <c r="U154" s="343" t="s">
        <v>333</v>
      </c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5"/>
    </row>
    <row r="155" spans="1:38" ht="21">
      <c r="A155" s="341"/>
      <c r="B155" s="341"/>
      <c r="C155" s="343" t="s">
        <v>195</v>
      </c>
      <c r="D155" s="344"/>
      <c r="E155" s="344"/>
      <c r="F155" s="344"/>
      <c r="G155" s="344"/>
      <c r="H155" s="345"/>
      <c r="I155" s="343" t="s">
        <v>334</v>
      </c>
      <c r="J155" s="344"/>
      <c r="K155" s="344"/>
      <c r="L155" s="344"/>
      <c r="M155" s="344"/>
      <c r="N155" s="345"/>
      <c r="O155" s="343" t="s">
        <v>335</v>
      </c>
      <c r="P155" s="344"/>
      <c r="Q155" s="344"/>
      <c r="R155" s="344"/>
      <c r="S155" s="344"/>
      <c r="T155" s="345"/>
      <c r="U155" s="343" t="s">
        <v>195</v>
      </c>
      <c r="V155" s="344"/>
      <c r="W155" s="344"/>
      <c r="X155" s="344"/>
      <c r="Y155" s="344"/>
      <c r="Z155" s="345"/>
      <c r="AA155" s="343" t="s">
        <v>334</v>
      </c>
      <c r="AB155" s="344"/>
      <c r="AC155" s="344"/>
      <c r="AD155" s="344"/>
      <c r="AE155" s="344"/>
      <c r="AF155" s="345"/>
      <c r="AG155" s="343" t="s">
        <v>335</v>
      </c>
      <c r="AH155" s="344"/>
      <c r="AI155" s="344"/>
      <c r="AJ155" s="344"/>
      <c r="AK155" s="344"/>
      <c r="AL155" s="345"/>
    </row>
    <row r="156" spans="1:38" ht="21">
      <c r="A156" s="341"/>
      <c r="B156" s="341"/>
      <c r="C156" s="343" t="s">
        <v>336</v>
      </c>
      <c r="D156" s="345"/>
      <c r="E156" s="343" t="s">
        <v>337</v>
      </c>
      <c r="F156" s="345"/>
      <c r="G156" s="343" t="s">
        <v>14</v>
      </c>
      <c r="H156" s="345"/>
      <c r="I156" s="343" t="s">
        <v>336</v>
      </c>
      <c r="J156" s="345"/>
      <c r="K156" s="343" t="s">
        <v>337</v>
      </c>
      <c r="L156" s="345"/>
      <c r="M156" s="343" t="s">
        <v>14</v>
      </c>
      <c r="N156" s="345"/>
      <c r="O156" s="343" t="s">
        <v>336</v>
      </c>
      <c r="P156" s="345"/>
      <c r="Q156" s="343" t="s">
        <v>337</v>
      </c>
      <c r="R156" s="345"/>
      <c r="S156" s="343" t="s">
        <v>14</v>
      </c>
      <c r="T156" s="345"/>
      <c r="U156" s="343" t="s">
        <v>336</v>
      </c>
      <c r="V156" s="345"/>
      <c r="W156" s="343" t="s">
        <v>337</v>
      </c>
      <c r="X156" s="345"/>
      <c r="Y156" s="343" t="s">
        <v>14</v>
      </c>
      <c r="Z156" s="345"/>
      <c r="AA156" s="343" t="s">
        <v>336</v>
      </c>
      <c r="AB156" s="345"/>
      <c r="AC156" s="343" t="s">
        <v>337</v>
      </c>
      <c r="AD156" s="345"/>
      <c r="AE156" s="343" t="s">
        <v>14</v>
      </c>
      <c r="AF156" s="345"/>
      <c r="AG156" s="343" t="s">
        <v>336</v>
      </c>
      <c r="AH156" s="345"/>
      <c r="AI156" s="343" t="s">
        <v>337</v>
      </c>
      <c r="AJ156" s="345"/>
      <c r="AK156" s="343" t="s">
        <v>14</v>
      </c>
      <c r="AL156" s="345"/>
    </row>
    <row r="157" spans="1:38" ht="63">
      <c r="A157" s="342"/>
      <c r="B157" s="342"/>
      <c r="C157" s="167" t="s">
        <v>338</v>
      </c>
      <c r="D157" s="167" t="s">
        <v>339</v>
      </c>
      <c r="E157" s="167" t="s">
        <v>338</v>
      </c>
      <c r="F157" s="167" t="s">
        <v>339</v>
      </c>
      <c r="G157" s="167" t="s">
        <v>338</v>
      </c>
      <c r="H157" s="167" t="s">
        <v>339</v>
      </c>
      <c r="I157" s="167" t="s">
        <v>338</v>
      </c>
      <c r="J157" s="167" t="s">
        <v>339</v>
      </c>
      <c r="K157" s="167" t="s">
        <v>338</v>
      </c>
      <c r="L157" s="167" t="s">
        <v>339</v>
      </c>
      <c r="M157" s="167" t="s">
        <v>338</v>
      </c>
      <c r="N157" s="167" t="s">
        <v>339</v>
      </c>
      <c r="O157" s="167" t="s">
        <v>338</v>
      </c>
      <c r="P157" s="167" t="s">
        <v>339</v>
      </c>
      <c r="Q157" s="167" t="s">
        <v>338</v>
      </c>
      <c r="R157" s="167" t="s">
        <v>339</v>
      </c>
      <c r="S157" s="167" t="s">
        <v>338</v>
      </c>
      <c r="T157" s="167" t="s">
        <v>339</v>
      </c>
      <c r="U157" s="168" t="s">
        <v>338</v>
      </c>
      <c r="V157" s="168" t="s">
        <v>339</v>
      </c>
      <c r="W157" s="168" t="s">
        <v>338</v>
      </c>
      <c r="X157" s="168" t="s">
        <v>339</v>
      </c>
      <c r="Y157" s="168" t="s">
        <v>338</v>
      </c>
      <c r="Z157" s="168" t="s">
        <v>339</v>
      </c>
      <c r="AA157" s="168" t="s">
        <v>338</v>
      </c>
      <c r="AB157" s="168" t="s">
        <v>339</v>
      </c>
      <c r="AC157" s="168" t="s">
        <v>338</v>
      </c>
      <c r="AD157" s="168" t="s">
        <v>339</v>
      </c>
      <c r="AE157" s="168" t="s">
        <v>338</v>
      </c>
      <c r="AF157" s="168" t="s">
        <v>339</v>
      </c>
      <c r="AG157" s="168" t="s">
        <v>338</v>
      </c>
      <c r="AH157" s="168" t="s">
        <v>339</v>
      </c>
      <c r="AI157" s="168" t="s">
        <v>338</v>
      </c>
      <c r="AJ157" s="168" t="s">
        <v>339</v>
      </c>
      <c r="AK157" s="168" t="s">
        <v>338</v>
      </c>
      <c r="AL157" s="168" t="s">
        <v>339</v>
      </c>
    </row>
    <row r="158" spans="1:38" ht="21">
      <c r="A158" s="165">
        <v>1</v>
      </c>
      <c r="B158" s="166" t="s">
        <v>404</v>
      </c>
      <c r="C158" s="167"/>
      <c r="D158" s="167"/>
      <c r="E158" s="167"/>
      <c r="F158" s="167"/>
      <c r="G158" s="167">
        <v>0</v>
      </c>
      <c r="H158" s="167">
        <v>0</v>
      </c>
      <c r="I158" s="167">
        <v>63</v>
      </c>
      <c r="J158" s="167">
        <v>71.19</v>
      </c>
      <c r="K158" s="167"/>
      <c r="L158" s="167"/>
      <c r="M158" s="167">
        <v>63</v>
      </c>
      <c r="N158" s="167">
        <v>71.19</v>
      </c>
      <c r="O158" s="167"/>
      <c r="P158" s="167"/>
      <c r="Q158" s="167"/>
      <c r="R158" s="167"/>
      <c r="S158" s="167">
        <v>0</v>
      </c>
      <c r="T158" s="167">
        <v>0</v>
      </c>
      <c r="U158" s="168"/>
      <c r="V158" s="168"/>
      <c r="W158" s="168"/>
      <c r="X158" s="168"/>
      <c r="Y158" s="168">
        <v>0</v>
      </c>
      <c r="Z158" s="168">
        <v>0</v>
      </c>
      <c r="AA158" s="168">
        <v>63</v>
      </c>
      <c r="AB158" s="168">
        <v>36.75</v>
      </c>
      <c r="AC158" s="168"/>
      <c r="AD158" s="168"/>
      <c r="AE158" s="168">
        <v>63</v>
      </c>
      <c r="AF158" s="168">
        <v>36.75</v>
      </c>
      <c r="AG158" s="168"/>
      <c r="AH158" s="168"/>
      <c r="AI158" s="168"/>
      <c r="AJ158" s="168"/>
      <c r="AK158" s="168">
        <v>0</v>
      </c>
      <c r="AL158" s="168">
        <v>0</v>
      </c>
    </row>
    <row r="159" spans="1:38" ht="21">
      <c r="A159" s="165">
        <v>2</v>
      </c>
      <c r="B159" s="166" t="s">
        <v>405</v>
      </c>
      <c r="C159" s="167"/>
      <c r="D159" s="167"/>
      <c r="E159" s="167"/>
      <c r="F159" s="167"/>
      <c r="G159" s="167">
        <v>0</v>
      </c>
      <c r="H159" s="167">
        <v>0</v>
      </c>
      <c r="I159" s="167">
        <v>131</v>
      </c>
      <c r="J159" s="167">
        <v>95.94</v>
      </c>
      <c r="K159" s="167"/>
      <c r="L159" s="167"/>
      <c r="M159" s="167">
        <v>131</v>
      </c>
      <c r="N159" s="167">
        <v>95.94</v>
      </c>
      <c r="O159" s="167"/>
      <c r="P159" s="167"/>
      <c r="Q159" s="167"/>
      <c r="R159" s="167"/>
      <c r="S159" s="167">
        <v>0</v>
      </c>
      <c r="T159" s="167">
        <v>0</v>
      </c>
      <c r="U159" s="168"/>
      <c r="V159" s="168"/>
      <c r="W159" s="168"/>
      <c r="X159" s="168"/>
      <c r="Y159" s="168">
        <v>0</v>
      </c>
      <c r="Z159" s="168">
        <v>0</v>
      </c>
      <c r="AA159" s="168">
        <v>184</v>
      </c>
      <c r="AB159" s="168">
        <v>131.06</v>
      </c>
      <c r="AC159" s="168"/>
      <c r="AD159" s="168"/>
      <c r="AE159" s="168">
        <v>184</v>
      </c>
      <c r="AF159" s="168">
        <v>131.06</v>
      </c>
      <c r="AG159" s="168"/>
      <c r="AH159" s="168"/>
      <c r="AI159" s="168"/>
      <c r="AJ159" s="168"/>
      <c r="AK159" s="168">
        <v>0</v>
      </c>
      <c r="AL159" s="168">
        <v>0</v>
      </c>
    </row>
    <row r="160" spans="1:38" ht="21">
      <c r="A160" s="165">
        <v>3</v>
      </c>
      <c r="B160" s="166" t="s">
        <v>406</v>
      </c>
      <c r="C160" s="167"/>
      <c r="D160" s="167"/>
      <c r="E160" s="167"/>
      <c r="F160" s="167"/>
      <c r="G160" s="167">
        <v>0</v>
      </c>
      <c r="H160" s="167">
        <v>0</v>
      </c>
      <c r="I160" s="167">
        <v>76</v>
      </c>
      <c r="J160" s="167">
        <v>59</v>
      </c>
      <c r="K160" s="167"/>
      <c r="L160" s="167"/>
      <c r="M160" s="167">
        <v>76</v>
      </c>
      <c r="N160" s="167">
        <v>59</v>
      </c>
      <c r="O160" s="167"/>
      <c r="P160" s="167"/>
      <c r="Q160" s="167"/>
      <c r="R160" s="167"/>
      <c r="S160" s="167">
        <v>0</v>
      </c>
      <c r="T160" s="167">
        <v>0</v>
      </c>
      <c r="U160" s="168"/>
      <c r="V160" s="168"/>
      <c r="W160" s="168"/>
      <c r="X160" s="168"/>
      <c r="Y160" s="168">
        <v>0</v>
      </c>
      <c r="Z160" s="168">
        <v>0</v>
      </c>
      <c r="AA160" s="168">
        <v>101</v>
      </c>
      <c r="AB160" s="168">
        <v>79.03</v>
      </c>
      <c r="AC160" s="168"/>
      <c r="AD160" s="168"/>
      <c r="AE160" s="168">
        <v>101</v>
      </c>
      <c r="AF160" s="168">
        <v>79.03</v>
      </c>
      <c r="AG160" s="168"/>
      <c r="AH160" s="168"/>
      <c r="AI160" s="168"/>
      <c r="AJ160" s="168"/>
      <c r="AK160" s="168">
        <v>0</v>
      </c>
      <c r="AL160" s="168">
        <v>0</v>
      </c>
    </row>
    <row r="161" spans="1:38" ht="21">
      <c r="A161" s="165">
        <v>4</v>
      </c>
      <c r="B161" s="166" t="s">
        <v>407</v>
      </c>
      <c r="C161" s="167"/>
      <c r="D161" s="167"/>
      <c r="E161" s="167"/>
      <c r="F161" s="167"/>
      <c r="G161" s="167">
        <v>0</v>
      </c>
      <c r="H161" s="167">
        <v>0</v>
      </c>
      <c r="I161" s="167">
        <v>141</v>
      </c>
      <c r="J161" s="167">
        <v>129.44</v>
      </c>
      <c r="K161" s="167"/>
      <c r="L161" s="167"/>
      <c r="M161" s="167">
        <v>141</v>
      </c>
      <c r="N161" s="167">
        <v>129.44</v>
      </c>
      <c r="O161" s="167"/>
      <c r="P161" s="167"/>
      <c r="Q161" s="167"/>
      <c r="R161" s="167"/>
      <c r="S161" s="167">
        <v>0</v>
      </c>
      <c r="T161" s="167">
        <v>0</v>
      </c>
      <c r="U161" s="168"/>
      <c r="V161" s="168"/>
      <c r="W161" s="168"/>
      <c r="X161" s="168"/>
      <c r="Y161" s="168">
        <v>0</v>
      </c>
      <c r="Z161" s="168">
        <v>0</v>
      </c>
      <c r="AA161" s="168">
        <v>165</v>
      </c>
      <c r="AB161" s="168">
        <v>125.28</v>
      </c>
      <c r="AC161" s="168"/>
      <c r="AD161" s="168"/>
      <c r="AE161" s="168">
        <v>165</v>
      </c>
      <c r="AF161" s="168">
        <v>125.28</v>
      </c>
      <c r="AG161" s="168"/>
      <c r="AH161" s="168"/>
      <c r="AI161" s="168"/>
      <c r="AJ161" s="168"/>
      <c r="AK161" s="168">
        <v>0</v>
      </c>
      <c r="AL161" s="168">
        <v>0</v>
      </c>
    </row>
    <row r="162" spans="1:38" ht="21">
      <c r="A162" s="165">
        <v>5</v>
      </c>
      <c r="B162" s="166" t="s">
        <v>408</v>
      </c>
      <c r="C162" s="167"/>
      <c r="D162" s="167"/>
      <c r="E162" s="167"/>
      <c r="F162" s="167"/>
      <c r="G162" s="167">
        <v>0</v>
      </c>
      <c r="H162" s="167">
        <v>0</v>
      </c>
      <c r="I162" s="167">
        <v>61</v>
      </c>
      <c r="J162" s="167">
        <v>62.11</v>
      </c>
      <c r="K162" s="167"/>
      <c r="L162" s="167"/>
      <c r="M162" s="167">
        <v>61</v>
      </c>
      <c r="N162" s="167">
        <v>62.11</v>
      </c>
      <c r="O162" s="167"/>
      <c r="P162" s="167"/>
      <c r="Q162" s="167"/>
      <c r="R162" s="167"/>
      <c r="S162" s="167">
        <v>0</v>
      </c>
      <c r="T162" s="167">
        <v>0</v>
      </c>
      <c r="U162" s="168"/>
      <c r="V162" s="168"/>
      <c r="W162" s="168"/>
      <c r="X162" s="168"/>
      <c r="Y162" s="168">
        <v>0</v>
      </c>
      <c r="Z162" s="168">
        <v>0</v>
      </c>
      <c r="AA162" s="168">
        <v>61</v>
      </c>
      <c r="AB162" s="168">
        <v>46.69</v>
      </c>
      <c r="AC162" s="168"/>
      <c r="AD162" s="168"/>
      <c r="AE162" s="168">
        <v>61</v>
      </c>
      <c r="AF162" s="168">
        <v>46.69</v>
      </c>
      <c r="AG162" s="168"/>
      <c r="AH162" s="168"/>
      <c r="AI162" s="168"/>
      <c r="AJ162" s="168"/>
      <c r="AK162" s="168">
        <v>0</v>
      </c>
      <c r="AL162" s="168">
        <v>0</v>
      </c>
    </row>
    <row r="163" spans="1:38" ht="21">
      <c r="A163" s="165">
        <v>6</v>
      </c>
      <c r="B163" s="166" t="s">
        <v>409</v>
      </c>
      <c r="C163" s="167"/>
      <c r="D163" s="167"/>
      <c r="E163" s="167"/>
      <c r="F163" s="167"/>
      <c r="G163" s="167">
        <v>0</v>
      </c>
      <c r="H163" s="167">
        <v>0</v>
      </c>
      <c r="I163" s="167">
        <v>90</v>
      </c>
      <c r="J163" s="167">
        <v>96.92</v>
      </c>
      <c r="K163" s="167"/>
      <c r="L163" s="167"/>
      <c r="M163" s="167">
        <v>90</v>
      </c>
      <c r="N163" s="167">
        <v>96.92</v>
      </c>
      <c r="O163" s="167"/>
      <c r="P163" s="167"/>
      <c r="Q163" s="167"/>
      <c r="R163" s="167"/>
      <c r="S163" s="167">
        <v>0</v>
      </c>
      <c r="T163" s="167">
        <v>0</v>
      </c>
      <c r="U163" s="168"/>
      <c r="V163" s="168"/>
      <c r="W163" s="168"/>
      <c r="X163" s="168"/>
      <c r="Y163" s="168">
        <v>0</v>
      </c>
      <c r="Z163" s="168">
        <v>0</v>
      </c>
      <c r="AA163" s="168">
        <v>108</v>
      </c>
      <c r="AB163" s="168">
        <v>91.72</v>
      </c>
      <c r="AC163" s="168"/>
      <c r="AD163" s="168"/>
      <c r="AE163" s="168">
        <v>108</v>
      </c>
      <c r="AF163" s="168">
        <v>91.72</v>
      </c>
      <c r="AG163" s="168"/>
      <c r="AH163" s="168"/>
      <c r="AI163" s="168"/>
      <c r="AJ163" s="168"/>
      <c r="AK163" s="168">
        <v>0</v>
      </c>
      <c r="AL163" s="168">
        <v>0</v>
      </c>
    </row>
    <row r="164" spans="1:38" ht="21">
      <c r="A164" s="165">
        <v>7</v>
      </c>
      <c r="B164" s="166" t="s">
        <v>410</v>
      </c>
      <c r="C164" s="167"/>
      <c r="D164" s="167"/>
      <c r="E164" s="167"/>
      <c r="F164" s="167"/>
      <c r="G164" s="167">
        <v>0</v>
      </c>
      <c r="H164" s="167">
        <v>0</v>
      </c>
      <c r="I164" s="167">
        <v>287</v>
      </c>
      <c r="J164" s="167">
        <v>264.33</v>
      </c>
      <c r="K164" s="167">
        <v>4</v>
      </c>
      <c r="L164" s="167">
        <v>0.5</v>
      </c>
      <c r="M164" s="167">
        <v>291</v>
      </c>
      <c r="N164" s="167">
        <v>264.83</v>
      </c>
      <c r="O164" s="167"/>
      <c r="P164" s="167"/>
      <c r="Q164" s="167"/>
      <c r="R164" s="167"/>
      <c r="S164" s="167">
        <v>0</v>
      </c>
      <c r="T164" s="167">
        <v>0</v>
      </c>
      <c r="U164" s="168"/>
      <c r="V164" s="168"/>
      <c r="W164" s="168"/>
      <c r="X164" s="168"/>
      <c r="Y164" s="168">
        <v>0</v>
      </c>
      <c r="Z164" s="168">
        <v>0</v>
      </c>
      <c r="AA164" s="168">
        <v>352</v>
      </c>
      <c r="AB164" s="168">
        <v>259.31</v>
      </c>
      <c r="AC164" s="168">
        <v>14</v>
      </c>
      <c r="AD164" s="168">
        <v>1.5</v>
      </c>
      <c r="AE164" s="168">
        <v>366</v>
      </c>
      <c r="AF164" s="168">
        <v>260.81</v>
      </c>
      <c r="AG164" s="168"/>
      <c r="AH164" s="168"/>
      <c r="AI164" s="168"/>
      <c r="AJ164" s="168"/>
      <c r="AK164" s="168">
        <v>0</v>
      </c>
      <c r="AL164" s="168">
        <v>0</v>
      </c>
    </row>
    <row r="165" spans="1:38" ht="21">
      <c r="A165" s="165">
        <v>8</v>
      </c>
      <c r="B165" s="166" t="s">
        <v>411</v>
      </c>
      <c r="C165" s="167"/>
      <c r="D165" s="167"/>
      <c r="E165" s="167"/>
      <c r="F165" s="167"/>
      <c r="G165" s="167">
        <v>0</v>
      </c>
      <c r="H165" s="167">
        <v>0</v>
      </c>
      <c r="I165" s="167">
        <v>57</v>
      </c>
      <c r="J165" s="167">
        <v>59.11</v>
      </c>
      <c r="K165" s="167"/>
      <c r="L165" s="167"/>
      <c r="M165" s="167">
        <v>57</v>
      </c>
      <c r="N165" s="167">
        <v>59.11</v>
      </c>
      <c r="O165" s="167"/>
      <c r="P165" s="167"/>
      <c r="Q165" s="167"/>
      <c r="R165" s="167"/>
      <c r="S165" s="167">
        <v>0</v>
      </c>
      <c r="T165" s="167">
        <v>0</v>
      </c>
      <c r="U165" s="168"/>
      <c r="V165" s="168"/>
      <c r="W165" s="168"/>
      <c r="X165" s="168"/>
      <c r="Y165" s="168">
        <v>0</v>
      </c>
      <c r="Z165" s="168">
        <v>0</v>
      </c>
      <c r="AA165" s="168">
        <v>58</v>
      </c>
      <c r="AB165" s="168">
        <v>45.72</v>
      </c>
      <c r="AC165" s="168"/>
      <c r="AD165" s="168"/>
      <c r="AE165" s="168">
        <v>58</v>
      </c>
      <c r="AF165" s="168">
        <v>45.72</v>
      </c>
      <c r="AG165" s="168"/>
      <c r="AH165" s="168"/>
      <c r="AI165" s="168"/>
      <c r="AJ165" s="168"/>
      <c r="AK165" s="168">
        <v>0</v>
      </c>
      <c r="AL165" s="168">
        <v>0</v>
      </c>
    </row>
    <row r="166" spans="1:38" ht="21">
      <c r="A166" s="165">
        <v>9</v>
      </c>
      <c r="B166" s="166" t="s">
        <v>412</v>
      </c>
      <c r="C166" s="167"/>
      <c r="D166" s="167"/>
      <c r="E166" s="167"/>
      <c r="F166" s="167"/>
      <c r="G166" s="167">
        <v>0</v>
      </c>
      <c r="H166" s="167">
        <v>0</v>
      </c>
      <c r="I166" s="167">
        <v>59</v>
      </c>
      <c r="J166" s="167">
        <v>59.06</v>
      </c>
      <c r="K166" s="167"/>
      <c r="L166" s="167"/>
      <c r="M166" s="167">
        <v>59</v>
      </c>
      <c r="N166" s="167">
        <v>59.06</v>
      </c>
      <c r="O166" s="167"/>
      <c r="P166" s="167"/>
      <c r="Q166" s="167"/>
      <c r="R166" s="167"/>
      <c r="S166" s="167">
        <v>0</v>
      </c>
      <c r="T166" s="167">
        <v>0</v>
      </c>
      <c r="U166" s="168"/>
      <c r="V166" s="168"/>
      <c r="W166" s="168"/>
      <c r="X166" s="168"/>
      <c r="Y166" s="168">
        <v>0</v>
      </c>
      <c r="Z166" s="168">
        <v>0</v>
      </c>
      <c r="AA166" s="168">
        <v>61</v>
      </c>
      <c r="AB166" s="168">
        <v>44.67</v>
      </c>
      <c r="AC166" s="168"/>
      <c r="AD166" s="168"/>
      <c r="AE166" s="168">
        <v>61</v>
      </c>
      <c r="AF166" s="168">
        <v>44.67</v>
      </c>
      <c r="AG166" s="168"/>
      <c r="AH166" s="168"/>
      <c r="AI166" s="168"/>
      <c r="AJ166" s="168"/>
      <c r="AK166" s="168">
        <v>0</v>
      </c>
      <c r="AL166" s="168">
        <v>0</v>
      </c>
    </row>
    <row r="167" spans="1:38" ht="21">
      <c r="A167" s="346" t="s">
        <v>14</v>
      </c>
      <c r="B167" s="347"/>
      <c r="C167" s="167">
        <f>SUM(C158:C166)</f>
        <v>0</v>
      </c>
      <c r="D167" s="167">
        <f aca="true" t="shared" si="28" ref="D167:T167">SUM(D158:D166)</f>
        <v>0</v>
      </c>
      <c r="E167" s="167">
        <f t="shared" si="28"/>
        <v>0</v>
      </c>
      <c r="F167" s="167">
        <f t="shared" si="28"/>
        <v>0</v>
      </c>
      <c r="G167" s="167">
        <f t="shared" si="28"/>
        <v>0</v>
      </c>
      <c r="H167" s="167">
        <f t="shared" si="28"/>
        <v>0</v>
      </c>
      <c r="I167" s="167">
        <f t="shared" si="28"/>
        <v>965</v>
      </c>
      <c r="J167" s="167">
        <f t="shared" si="28"/>
        <v>897.1000000000001</v>
      </c>
      <c r="K167" s="167">
        <f t="shared" si="28"/>
        <v>4</v>
      </c>
      <c r="L167" s="167">
        <f t="shared" si="28"/>
        <v>0.5</v>
      </c>
      <c r="M167" s="167">
        <f t="shared" si="28"/>
        <v>969</v>
      </c>
      <c r="N167" s="167">
        <f t="shared" si="28"/>
        <v>897.6000000000001</v>
      </c>
      <c r="O167" s="167">
        <f t="shared" si="28"/>
        <v>0</v>
      </c>
      <c r="P167" s="167">
        <f t="shared" si="28"/>
        <v>0</v>
      </c>
      <c r="Q167" s="167">
        <f t="shared" si="28"/>
        <v>0</v>
      </c>
      <c r="R167" s="167">
        <f t="shared" si="28"/>
        <v>0</v>
      </c>
      <c r="S167" s="167">
        <f t="shared" si="28"/>
        <v>0</v>
      </c>
      <c r="T167" s="167">
        <f t="shared" si="28"/>
        <v>0</v>
      </c>
      <c r="U167" s="168">
        <f>+U158+U159+U160+U161+U162+U163+U164+U165+U166</f>
        <v>0</v>
      </c>
      <c r="V167" s="168">
        <f aca="true" t="shared" si="29" ref="V167:AL167">+V158+V159+V160+V161+V162+V163+V164+V165+V166</f>
        <v>0</v>
      </c>
      <c r="W167" s="168">
        <f t="shared" si="29"/>
        <v>0</v>
      </c>
      <c r="X167" s="168">
        <f t="shared" si="29"/>
        <v>0</v>
      </c>
      <c r="Y167" s="168">
        <f t="shared" si="29"/>
        <v>0</v>
      </c>
      <c r="Z167" s="168">
        <f t="shared" si="29"/>
        <v>0</v>
      </c>
      <c r="AA167" s="168">
        <f t="shared" si="29"/>
        <v>1153</v>
      </c>
      <c r="AB167" s="168">
        <f t="shared" si="29"/>
        <v>860.2299999999999</v>
      </c>
      <c r="AC167" s="168">
        <f t="shared" si="29"/>
        <v>14</v>
      </c>
      <c r="AD167" s="168">
        <f t="shared" si="29"/>
        <v>1.5</v>
      </c>
      <c r="AE167" s="168">
        <f t="shared" si="29"/>
        <v>1167</v>
      </c>
      <c r="AF167" s="168">
        <f t="shared" si="29"/>
        <v>861.7299999999999</v>
      </c>
      <c r="AG167" s="168">
        <f t="shared" si="29"/>
        <v>0</v>
      </c>
      <c r="AH167" s="168">
        <f t="shared" si="29"/>
        <v>0</v>
      </c>
      <c r="AI167" s="168">
        <f t="shared" si="29"/>
        <v>0</v>
      </c>
      <c r="AJ167" s="168">
        <f t="shared" si="29"/>
        <v>0</v>
      </c>
      <c r="AK167" s="168">
        <f t="shared" si="29"/>
        <v>0</v>
      </c>
      <c r="AL167" s="168">
        <f t="shared" si="29"/>
        <v>0</v>
      </c>
    </row>
    <row r="168" spans="1:38" ht="21">
      <c r="A168" s="337" t="s">
        <v>328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9"/>
    </row>
    <row r="169" spans="1:38" ht="21">
      <c r="A169" s="337" t="s">
        <v>413</v>
      </c>
      <c r="B169" s="338"/>
      <c r="C169" s="338"/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9"/>
    </row>
    <row r="170" spans="1:38" ht="21">
      <c r="A170" s="340" t="s">
        <v>330</v>
      </c>
      <c r="B170" s="340" t="s">
        <v>331</v>
      </c>
      <c r="C170" s="343" t="s">
        <v>332</v>
      </c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5"/>
      <c r="U170" s="343" t="s">
        <v>333</v>
      </c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5"/>
    </row>
    <row r="171" spans="1:38" ht="21">
      <c r="A171" s="341"/>
      <c r="B171" s="341"/>
      <c r="C171" s="343" t="s">
        <v>195</v>
      </c>
      <c r="D171" s="344"/>
      <c r="E171" s="344"/>
      <c r="F171" s="344"/>
      <c r="G171" s="344"/>
      <c r="H171" s="345"/>
      <c r="I171" s="343" t="s">
        <v>334</v>
      </c>
      <c r="J171" s="344"/>
      <c r="K171" s="344"/>
      <c r="L171" s="344"/>
      <c r="M171" s="344"/>
      <c r="N171" s="345"/>
      <c r="O171" s="343" t="s">
        <v>335</v>
      </c>
      <c r="P171" s="344"/>
      <c r="Q171" s="344"/>
      <c r="R171" s="344"/>
      <c r="S171" s="344"/>
      <c r="T171" s="345"/>
      <c r="U171" s="343" t="s">
        <v>195</v>
      </c>
      <c r="V171" s="344"/>
      <c r="W171" s="344"/>
      <c r="X171" s="344"/>
      <c r="Y171" s="344"/>
      <c r="Z171" s="345"/>
      <c r="AA171" s="343" t="s">
        <v>334</v>
      </c>
      <c r="AB171" s="344"/>
      <c r="AC171" s="344"/>
      <c r="AD171" s="344"/>
      <c r="AE171" s="344"/>
      <c r="AF171" s="345"/>
      <c r="AG171" s="343" t="s">
        <v>335</v>
      </c>
      <c r="AH171" s="344"/>
      <c r="AI171" s="344"/>
      <c r="AJ171" s="344"/>
      <c r="AK171" s="344"/>
      <c r="AL171" s="345"/>
    </row>
    <row r="172" spans="1:38" ht="21">
      <c r="A172" s="341"/>
      <c r="B172" s="341"/>
      <c r="C172" s="343" t="s">
        <v>336</v>
      </c>
      <c r="D172" s="345"/>
      <c r="E172" s="343" t="s">
        <v>337</v>
      </c>
      <c r="F172" s="345"/>
      <c r="G172" s="343" t="s">
        <v>14</v>
      </c>
      <c r="H172" s="345"/>
      <c r="I172" s="343" t="s">
        <v>336</v>
      </c>
      <c r="J172" s="345"/>
      <c r="K172" s="343" t="s">
        <v>337</v>
      </c>
      <c r="L172" s="345"/>
      <c r="M172" s="343" t="s">
        <v>14</v>
      </c>
      <c r="N172" s="345"/>
      <c r="O172" s="343" t="s">
        <v>336</v>
      </c>
      <c r="P172" s="345"/>
      <c r="Q172" s="343" t="s">
        <v>337</v>
      </c>
      <c r="R172" s="345"/>
      <c r="S172" s="343" t="s">
        <v>14</v>
      </c>
      <c r="T172" s="345"/>
      <c r="U172" s="343" t="s">
        <v>336</v>
      </c>
      <c r="V172" s="345"/>
      <c r="W172" s="343" t="s">
        <v>337</v>
      </c>
      <c r="X172" s="345"/>
      <c r="Y172" s="343" t="s">
        <v>14</v>
      </c>
      <c r="Z172" s="345"/>
      <c r="AA172" s="343" t="s">
        <v>336</v>
      </c>
      <c r="AB172" s="345"/>
      <c r="AC172" s="343" t="s">
        <v>337</v>
      </c>
      <c r="AD172" s="345"/>
      <c r="AE172" s="343" t="s">
        <v>14</v>
      </c>
      <c r="AF172" s="345"/>
      <c r="AG172" s="343" t="s">
        <v>336</v>
      </c>
      <c r="AH172" s="345"/>
      <c r="AI172" s="343" t="s">
        <v>337</v>
      </c>
      <c r="AJ172" s="345"/>
      <c r="AK172" s="343" t="s">
        <v>14</v>
      </c>
      <c r="AL172" s="345"/>
    </row>
    <row r="173" spans="1:38" ht="63">
      <c r="A173" s="342"/>
      <c r="B173" s="342"/>
      <c r="C173" s="167" t="s">
        <v>338</v>
      </c>
      <c r="D173" s="167" t="s">
        <v>339</v>
      </c>
      <c r="E173" s="167" t="s">
        <v>338</v>
      </c>
      <c r="F173" s="167" t="s">
        <v>339</v>
      </c>
      <c r="G173" s="167" t="s">
        <v>338</v>
      </c>
      <c r="H173" s="167" t="s">
        <v>339</v>
      </c>
      <c r="I173" s="167" t="s">
        <v>338</v>
      </c>
      <c r="J173" s="167" t="s">
        <v>339</v>
      </c>
      <c r="K173" s="167" t="s">
        <v>338</v>
      </c>
      <c r="L173" s="167" t="s">
        <v>339</v>
      </c>
      <c r="M173" s="167" t="s">
        <v>338</v>
      </c>
      <c r="N173" s="167" t="s">
        <v>339</v>
      </c>
      <c r="O173" s="167" t="s">
        <v>338</v>
      </c>
      <c r="P173" s="167" t="s">
        <v>339</v>
      </c>
      <c r="Q173" s="167" t="s">
        <v>338</v>
      </c>
      <c r="R173" s="167" t="s">
        <v>339</v>
      </c>
      <c r="S173" s="167" t="s">
        <v>338</v>
      </c>
      <c r="T173" s="167" t="s">
        <v>339</v>
      </c>
      <c r="U173" s="168" t="s">
        <v>338</v>
      </c>
      <c r="V173" s="168" t="s">
        <v>339</v>
      </c>
      <c r="W173" s="168" t="s">
        <v>338</v>
      </c>
      <c r="X173" s="168" t="s">
        <v>339</v>
      </c>
      <c r="Y173" s="168" t="s">
        <v>338</v>
      </c>
      <c r="Z173" s="168" t="s">
        <v>339</v>
      </c>
      <c r="AA173" s="168" t="s">
        <v>338</v>
      </c>
      <c r="AB173" s="168" t="s">
        <v>339</v>
      </c>
      <c r="AC173" s="168" t="s">
        <v>338</v>
      </c>
      <c r="AD173" s="168" t="s">
        <v>339</v>
      </c>
      <c r="AE173" s="168" t="s">
        <v>338</v>
      </c>
      <c r="AF173" s="168" t="s">
        <v>339</v>
      </c>
      <c r="AG173" s="168" t="s">
        <v>338</v>
      </c>
      <c r="AH173" s="168" t="s">
        <v>339</v>
      </c>
      <c r="AI173" s="168" t="s">
        <v>338</v>
      </c>
      <c r="AJ173" s="168" t="s">
        <v>339</v>
      </c>
      <c r="AK173" s="168" t="s">
        <v>338</v>
      </c>
      <c r="AL173" s="168" t="s">
        <v>339</v>
      </c>
    </row>
    <row r="174" spans="1:38" ht="21">
      <c r="A174" s="165">
        <v>1</v>
      </c>
      <c r="B174" s="166" t="s">
        <v>414</v>
      </c>
      <c r="C174" s="167"/>
      <c r="D174" s="167"/>
      <c r="E174" s="167"/>
      <c r="F174" s="167"/>
      <c r="G174" s="167">
        <v>0</v>
      </c>
      <c r="H174" s="167">
        <v>0</v>
      </c>
      <c r="I174" s="167">
        <v>353</v>
      </c>
      <c r="J174" s="167">
        <v>345.31</v>
      </c>
      <c r="K174" s="167">
        <v>59</v>
      </c>
      <c r="L174" s="167">
        <v>45.28</v>
      </c>
      <c r="M174" s="167">
        <v>412</v>
      </c>
      <c r="N174" s="167">
        <v>390.59</v>
      </c>
      <c r="O174" s="167"/>
      <c r="P174" s="167"/>
      <c r="Q174" s="167"/>
      <c r="R174" s="167"/>
      <c r="S174" s="167">
        <v>0</v>
      </c>
      <c r="T174" s="167">
        <v>0</v>
      </c>
      <c r="U174" s="168"/>
      <c r="V174" s="168"/>
      <c r="W174" s="168"/>
      <c r="X174" s="168"/>
      <c r="Y174" s="168">
        <v>0</v>
      </c>
      <c r="Z174" s="168">
        <v>0</v>
      </c>
      <c r="AA174" s="168">
        <v>455</v>
      </c>
      <c r="AB174" s="168">
        <v>330.33</v>
      </c>
      <c r="AC174" s="168">
        <v>96</v>
      </c>
      <c r="AD174" s="168">
        <v>67.89</v>
      </c>
      <c r="AE174" s="168">
        <v>551</v>
      </c>
      <c r="AF174" s="168">
        <v>398.22</v>
      </c>
      <c r="AG174" s="168"/>
      <c r="AH174" s="168"/>
      <c r="AI174" s="168"/>
      <c r="AJ174" s="168"/>
      <c r="AK174" s="168">
        <v>0</v>
      </c>
      <c r="AL174" s="168">
        <v>0</v>
      </c>
    </row>
    <row r="175" spans="1:38" ht="21">
      <c r="A175" s="165">
        <v>2</v>
      </c>
      <c r="B175" s="166" t="s">
        <v>415</v>
      </c>
      <c r="C175" s="167"/>
      <c r="D175" s="167"/>
      <c r="E175" s="167"/>
      <c r="F175" s="167"/>
      <c r="G175" s="167">
        <v>0</v>
      </c>
      <c r="H175" s="167">
        <v>0</v>
      </c>
      <c r="I175" s="167">
        <v>378</v>
      </c>
      <c r="J175" s="167">
        <v>356.92</v>
      </c>
      <c r="K175" s="167">
        <v>83</v>
      </c>
      <c r="L175" s="167">
        <v>69.5</v>
      </c>
      <c r="M175" s="167">
        <v>461</v>
      </c>
      <c r="N175" s="167">
        <v>426.42</v>
      </c>
      <c r="O175" s="167"/>
      <c r="P175" s="167"/>
      <c r="Q175" s="167"/>
      <c r="R175" s="167"/>
      <c r="S175" s="167">
        <v>0</v>
      </c>
      <c r="T175" s="167">
        <v>0</v>
      </c>
      <c r="U175" s="168"/>
      <c r="V175" s="168"/>
      <c r="W175" s="168"/>
      <c r="X175" s="168"/>
      <c r="Y175" s="168">
        <v>0</v>
      </c>
      <c r="Z175" s="168">
        <v>0</v>
      </c>
      <c r="AA175" s="168">
        <v>475</v>
      </c>
      <c r="AB175" s="168">
        <v>323.03</v>
      </c>
      <c r="AC175" s="168">
        <v>115</v>
      </c>
      <c r="AD175" s="168">
        <v>80.33</v>
      </c>
      <c r="AE175" s="168">
        <v>590</v>
      </c>
      <c r="AF175" s="168">
        <v>403.36</v>
      </c>
      <c r="AG175" s="168"/>
      <c r="AH175" s="168"/>
      <c r="AI175" s="168"/>
      <c r="AJ175" s="168"/>
      <c r="AK175" s="168">
        <v>0</v>
      </c>
      <c r="AL175" s="168">
        <v>0</v>
      </c>
    </row>
    <row r="176" spans="1:38" ht="21">
      <c r="A176" s="165">
        <v>3</v>
      </c>
      <c r="B176" s="166" t="s">
        <v>416</v>
      </c>
      <c r="C176" s="167"/>
      <c r="D176" s="167"/>
      <c r="E176" s="167"/>
      <c r="F176" s="167"/>
      <c r="G176" s="167">
        <v>0</v>
      </c>
      <c r="H176" s="167">
        <v>0</v>
      </c>
      <c r="I176" s="167"/>
      <c r="J176" s="167"/>
      <c r="K176" s="167"/>
      <c r="L176" s="167"/>
      <c r="M176" s="167">
        <v>0</v>
      </c>
      <c r="N176" s="167">
        <v>0</v>
      </c>
      <c r="O176" s="167"/>
      <c r="P176" s="167"/>
      <c r="Q176" s="167"/>
      <c r="R176" s="167"/>
      <c r="S176" s="167">
        <v>0</v>
      </c>
      <c r="T176" s="167">
        <v>0</v>
      </c>
      <c r="U176" s="168"/>
      <c r="V176" s="168"/>
      <c r="W176" s="168"/>
      <c r="X176" s="168"/>
      <c r="Y176" s="168">
        <v>0</v>
      </c>
      <c r="Z176" s="168">
        <v>0</v>
      </c>
      <c r="AA176" s="168"/>
      <c r="AB176" s="168"/>
      <c r="AC176" s="168"/>
      <c r="AD176" s="168"/>
      <c r="AE176" s="168">
        <v>0</v>
      </c>
      <c r="AF176" s="168">
        <v>0</v>
      </c>
      <c r="AG176" s="168"/>
      <c r="AH176" s="168"/>
      <c r="AI176" s="168"/>
      <c r="AJ176" s="168"/>
      <c r="AK176" s="168">
        <v>0</v>
      </c>
      <c r="AL176" s="168">
        <v>0</v>
      </c>
    </row>
    <row r="177" spans="1:38" ht="21">
      <c r="A177" s="165">
        <v>4</v>
      </c>
      <c r="B177" s="166" t="s">
        <v>417</v>
      </c>
      <c r="C177" s="167"/>
      <c r="D177" s="167"/>
      <c r="E177" s="167"/>
      <c r="F177" s="167"/>
      <c r="G177" s="167">
        <v>0</v>
      </c>
      <c r="H177" s="167">
        <v>0</v>
      </c>
      <c r="I177" s="167">
        <v>280</v>
      </c>
      <c r="J177" s="167">
        <v>263.06</v>
      </c>
      <c r="K177" s="167">
        <v>45</v>
      </c>
      <c r="L177" s="167">
        <v>35.92</v>
      </c>
      <c r="M177" s="167">
        <v>325</v>
      </c>
      <c r="N177" s="167">
        <v>298.98</v>
      </c>
      <c r="O177" s="167"/>
      <c r="P177" s="167"/>
      <c r="Q177" s="167"/>
      <c r="R177" s="167"/>
      <c r="S177" s="167">
        <v>0</v>
      </c>
      <c r="T177" s="167">
        <v>0</v>
      </c>
      <c r="U177" s="168"/>
      <c r="V177" s="168"/>
      <c r="W177" s="168"/>
      <c r="X177" s="168"/>
      <c r="Y177" s="168">
        <v>0</v>
      </c>
      <c r="Z177" s="168">
        <v>0</v>
      </c>
      <c r="AA177" s="168">
        <v>370</v>
      </c>
      <c r="AB177" s="168">
        <v>261.78</v>
      </c>
      <c r="AC177" s="168">
        <v>74</v>
      </c>
      <c r="AD177" s="168">
        <v>53.83</v>
      </c>
      <c r="AE177" s="168">
        <v>444</v>
      </c>
      <c r="AF177" s="168">
        <v>315.61</v>
      </c>
      <c r="AG177" s="168"/>
      <c r="AH177" s="168"/>
      <c r="AI177" s="168"/>
      <c r="AJ177" s="168"/>
      <c r="AK177" s="168">
        <v>0</v>
      </c>
      <c r="AL177" s="168">
        <v>0</v>
      </c>
    </row>
    <row r="178" spans="1:38" ht="21">
      <c r="A178" s="165">
        <v>5</v>
      </c>
      <c r="B178" s="166" t="s">
        <v>418</v>
      </c>
      <c r="C178" s="167"/>
      <c r="D178" s="167"/>
      <c r="E178" s="167"/>
      <c r="F178" s="167"/>
      <c r="G178" s="167">
        <v>0</v>
      </c>
      <c r="H178" s="167">
        <v>0</v>
      </c>
      <c r="I178" s="167">
        <v>158</v>
      </c>
      <c r="J178" s="167">
        <v>154</v>
      </c>
      <c r="K178" s="167">
        <v>77</v>
      </c>
      <c r="L178" s="167">
        <v>56.83</v>
      </c>
      <c r="M178" s="167">
        <v>235</v>
      </c>
      <c r="N178" s="167">
        <v>210.83</v>
      </c>
      <c r="O178" s="167"/>
      <c r="P178" s="167"/>
      <c r="Q178" s="167"/>
      <c r="R178" s="167"/>
      <c r="S178" s="167">
        <v>0</v>
      </c>
      <c r="T178" s="167">
        <v>0</v>
      </c>
      <c r="U178" s="168"/>
      <c r="V178" s="168"/>
      <c r="W178" s="168"/>
      <c r="X178" s="168"/>
      <c r="Y178" s="168">
        <v>0</v>
      </c>
      <c r="Z178" s="168">
        <v>0</v>
      </c>
      <c r="AA178" s="168">
        <v>196</v>
      </c>
      <c r="AB178" s="168">
        <v>125.94</v>
      </c>
      <c r="AC178" s="168">
        <v>127</v>
      </c>
      <c r="AD178" s="168">
        <v>79.03</v>
      </c>
      <c r="AE178" s="168">
        <v>323</v>
      </c>
      <c r="AF178" s="168">
        <v>204.97</v>
      </c>
      <c r="AG178" s="168"/>
      <c r="AH178" s="168"/>
      <c r="AI178" s="168"/>
      <c r="AJ178" s="168"/>
      <c r="AK178" s="168">
        <v>0</v>
      </c>
      <c r="AL178" s="168">
        <v>0</v>
      </c>
    </row>
    <row r="179" spans="1:38" ht="21">
      <c r="A179" s="165">
        <v>6</v>
      </c>
      <c r="B179" s="166" t="s">
        <v>419</v>
      </c>
      <c r="C179" s="167"/>
      <c r="D179" s="167"/>
      <c r="E179" s="167"/>
      <c r="F179" s="167"/>
      <c r="G179" s="167">
        <v>0</v>
      </c>
      <c r="H179" s="167">
        <v>0</v>
      </c>
      <c r="I179" s="167"/>
      <c r="J179" s="167"/>
      <c r="K179" s="167"/>
      <c r="L179" s="167"/>
      <c r="M179" s="167">
        <v>0</v>
      </c>
      <c r="N179" s="167">
        <v>0</v>
      </c>
      <c r="O179" s="167"/>
      <c r="P179" s="167"/>
      <c r="Q179" s="167">
        <v>17</v>
      </c>
      <c r="R179" s="167">
        <v>19.56</v>
      </c>
      <c r="S179" s="167">
        <v>17</v>
      </c>
      <c r="T179" s="167">
        <v>19.56</v>
      </c>
      <c r="U179" s="168"/>
      <c r="V179" s="168"/>
      <c r="W179" s="168"/>
      <c r="X179" s="168"/>
      <c r="Y179" s="168">
        <v>0</v>
      </c>
      <c r="Z179" s="168">
        <v>0</v>
      </c>
      <c r="AA179" s="168"/>
      <c r="AB179" s="168"/>
      <c r="AC179" s="168"/>
      <c r="AD179" s="168"/>
      <c r="AE179" s="168">
        <v>0</v>
      </c>
      <c r="AF179" s="168">
        <v>0</v>
      </c>
      <c r="AG179" s="168"/>
      <c r="AH179" s="168"/>
      <c r="AI179" s="168">
        <v>22</v>
      </c>
      <c r="AJ179" s="168">
        <v>17.28</v>
      </c>
      <c r="AK179" s="168">
        <v>22</v>
      </c>
      <c r="AL179" s="168">
        <v>17.28</v>
      </c>
    </row>
    <row r="180" spans="1:38" ht="21">
      <c r="A180" s="165">
        <v>7</v>
      </c>
      <c r="B180" s="166" t="s">
        <v>369</v>
      </c>
      <c r="C180" s="167"/>
      <c r="D180" s="167"/>
      <c r="E180" s="167"/>
      <c r="F180" s="167"/>
      <c r="G180" s="167">
        <v>0</v>
      </c>
      <c r="H180" s="167">
        <v>0</v>
      </c>
      <c r="I180" s="167">
        <v>579</v>
      </c>
      <c r="J180" s="167">
        <v>549.08</v>
      </c>
      <c r="K180" s="167">
        <v>122</v>
      </c>
      <c r="L180" s="167">
        <v>116.81</v>
      </c>
      <c r="M180" s="167">
        <v>701</v>
      </c>
      <c r="N180" s="167">
        <v>665.89</v>
      </c>
      <c r="O180" s="167"/>
      <c r="P180" s="167"/>
      <c r="Q180" s="167"/>
      <c r="R180" s="167"/>
      <c r="S180" s="167">
        <v>0</v>
      </c>
      <c r="T180" s="167">
        <v>0</v>
      </c>
      <c r="U180" s="168"/>
      <c r="V180" s="168"/>
      <c r="W180" s="168"/>
      <c r="X180" s="168"/>
      <c r="Y180" s="168">
        <v>0</v>
      </c>
      <c r="Z180" s="168">
        <v>0</v>
      </c>
      <c r="AA180" s="168">
        <v>776</v>
      </c>
      <c r="AB180" s="168">
        <v>545</v>
      </c>
      <c r="AC180" s="168">
        <v>172</v>
      </c>
      <c r="AD180" s="168">
        <v>124.28</v>
      </c>
      <c r="AE180" s="168">
        <v>948</v>
      </c>
      <c r="AF180" s="168">
        <v>669.28</v>
      </c>
      <c r="AG180" s="168"/>
      <c r="AH180" s="168"/>
      <c r="AI180" s="168"/>
      <c r="AJ180" s="168"/>
      <c r="AK180" s="168">
        <v>0</v>
      </c>
      <c r="AL180" s="168">
        <v>0</v>
      </c>
    </row>
    <row r="181" spans="1:38" ht="21">
      <c r="A181" s="165">
        <v>8</v>
      </c>
      <c r="B181" s="166" t="s">
        <v>370</v>
      </c>
      <c r="C181" s="167"/>
      <c r="D181" s="167"/>
      <c r="E181" s="167"/>
      <c r="F181" s="167"/>
      <c r="G181" s="167">
        <v>0</v>
      </c>
      <c r="H181" s="167">
        <v>0</v>
      </c>
      <c r="I181" s="167">
        <v>552</v>
      </c>
      <c r="J181" s="167">
        <v>543.72</v>
      </c>
      <c r="K181" s="167">
        <v>210</v>
      </c>
      <c r="L181" s="167">
        <v>191.53</v>
      </c>
      <c r="M181" s="167">
        <v>762</v>
      </c>
      <c r="N181" s="167">
        <v>735.25</v>
      </c>
      <c r="O181" s="167"/>
      <c r="P181" s="167"/>
      <c r="Q181" s="167"/>
      <c r="R181" s="167"/>
      <c r="S181" s="167">
        <v>0</v>
      </c>
      <c r="T181" s="167">
        <v>0</v>
      </c>
      <c r="U181" s="168"/>
      <c r="V181" s="168"/>
      <c r="W181" s="168"/>
      <c r="X181" s="168"/>
      <c r="Y181" s="168">
        <v>0</v>
      </c>
      <c r="Z181" s="168">
        <v>0</v>
      </c>
      <c r="AA181" s="168">
        <v>715</v>
      </c>
      <c r="AB181" s="168">
        <v>515.03</v>
      </c>
      <c r="AC181" s="168">
        <v>268</v>
      </c>
      <c r="AD181" s="168">
        <v>202.03</v>
      </c>
      <c r="AE181" s="168">
        <v>983</v>
      </c>
      <c r="AF181" s="168">
        <v>717.06</v>
      </c>
      <c r="AG181" s="168"/>
      <c r="AH181" s="168"/>
      <c r="AI181" s="168"/>
      <c r="AJ181" s="168"/>
      <c r="AK181" s="168">
        <v>0</v>
      </c>
      <c r="AL181" s="168">
        <v>0</v>
      </c>
    </row>
    <row r="182" spans="1:38" ht="21">
      <c r="A182" s="165">
        <v>9</v>
      </c>
      <c r="B182" s="166" t="s">
        <v>420</v>
      </c>
      <c r="C182" s="167"/>
      <c r="D182" s="167"/>
      <c r="E182" s="167"/>
      <c r="F182" s="167"/>
      <c r="G182" s="167">
        <v>0</v>
      </c>
      <c r="H182" s="167">
        <v>0</v>
      </c>
      <c r="I182" s="167"/>
      <c r="J182" s="167"/>
      <c r="K182" s="167"/>
      <c r="L182" s="167"/>
      <c r="M182" s="167">
        <v>0</v>
      </c>
      <c r="N182" s="167">
        <v>0</v>
      </c>
      <c r="O182" s="167"/>
      <c r="P182" s="167"/>
      <c r="Q182" s="167"/>
      <c r="R182" s="167"/>
      <c r="S182" s="167">
        <v>0</v>
      </c>
      <c r="T182" s="167">
        <v>0</v>
      </c>
      <c r="U182" s="168"/>
      <c r="V182" s="168"/>
      <c r="W182" s="168"/>
      <c r="X182" s="168"/>
      <c r="Y182" s="168">
        <v>0</v>
      </c>
      <c r="Z182" s="168">
        <v>0</v>
      </c>
      <c r="AA182" s="168"/>
      <c r="AB182" s="168"/>
      <c r="AC182" s="168"/>
      <c r="AD182" s="168"/>
      <c r="AE182" s="168">
        <v>0</v>
      </c>
      <c r="AF182" s="168">
        <v>0</v>
      </c>
      <c r="AG182" s="168"/>
      <c r="AH182" s="168"/>
      <c r="AI182" s="168"/>
      <c r="AJ182" s="168"/>
      <c r="AK182" s="168">
        <v>0</v>
      </c>
      <c r="AL182" s="168">
        <v>0</v>
      </c>
    </row>
    <row r="183" spans="1:38" ht="21">
      <c r="A183" s="165">
        <v>10</v>
      </c>
      <c r="B183" s="166" t="s">
        <v>371</v>
      </c>
      <c r="C183" s="167"/>
      <c r="D183" s="167"/>
      <c r="E183" s="167"/>
      <c r="F183" s="167"/>
      <c r="G183" s="167">
        <v>0</v>
      </c>
      <c r="H183" s="167">
        <v>0</v>
      </c>
      <c r="I183" s="167">
        <v>81</v>
      </c>
      <c r="J183" s="167">
        <v>71.17</v>
      </c>
      <c r="K183" s="167"/>
      <c r="L183" s="167"/>
      <c r="M183" s="167">
        <v>81</v>
      </c>
      <c r="N183" s="167">
        <v>71.17</v>
      </c>
      <c r="O183" s="167"/>
      <c r="P183" s="167"/>
      <c r="Q183" s="167"/>
      <c r="R183" s="167"/>
      <c r="S183" s="167">
        <v>0</v>
      </c>
      <c r="T183" s="167">
        <v>0</v>
      </c>
      <c r="U183" s="168"/>
      <c r="V183" s="168"/>
      <c r="W183" s="168"/>
      <c r="X183" s="168"/>
      <c r="Y183" s="168">
        <v>0</v>
      </c>
      <c r="Z183" s="168">
        <v>0</v>
      </c>
      <c r="AA183" s="168">
        <v>130</v>
      </c>
      <c r="AB183" s="168">
        <v>72.64</v>
      </c>
      <c r="AC183" s="168"/>
      <c r="AD183" s="168"/>
      <c r="AE183" s="168">
        <v>130</v>
      </c>
      <c r="AF183" s="168">
        <v>72.64</v>
      </c>
      <c r="AG183" s="168"/>
      <c r="AH183" s="168"/>
      <c r="AI183" s="168"/>
      <c r="AJ183" s="168"/>
      <c r="AK183" s="168">
        <v>0</v>
      </c>
      <c r="AL183" s="168">
        <v>0</v>
      </c>
    </row>
    <row r="184" spans="1:38" ht="21">
      <c r="A184" s="165">
        <v>11</v>
      </c>
      <c r="B184" s="166" t="s">
        <v>382</v>
      </c>
      <c r="C184" s="167"/>
      <c r="D184" s="167"/>
      <c r="E184" s="167"/>
      <c r="F184" s="167"/>
      <c r="G184" s="167">
        <v>0</v>
      </c>
      <c r="H184" s="167">
        <v>0</v>
      </c>
      <c r="I184" s="167">
        <v>516</v>
      </c>
      <c r="J184" s="167">
        <v>535.94</v>
      </c>
      <c r="K184" s="167">
        <v>128</v>
      </c>
      <c r="L184" s="167">
        <v>118.42</v>
      </c>
      <c r="M184" s="167">
        <v>644</v>
      </c>
      <c r="N184" s="167">
        <v>654.36</v>
      </c>
      <c r="O184" s="167"/>
      <c r="P184" s="167"/>
      <c r="Q184" s="167"/>
      <c r="R184" s="167"/>
      <c r="S184" s="167">
        <v>0</v>
      </c>
      <c r="T184" s="167">
        <v>0</v>
      </c>
      <c r="U184" s="168"/>
      <c r="V184" s="168"/>
      <c r="W184" s="168"/>
      <c r="X184" s="168"/>
      <c r="Y184" s="168">
        <v>0</v>
      </c>
      <c r="Z184" s="168">
        <v>0</v>
      </c>
      <c r="AA184" s="168">
        <v>691</v>
      </c>
      <c r="AB184" s="168">
        <v>507.89</v>
      </c>
      <c r="AC184" s="168">
        <v>171</v>
      </c>
      <c r="AD184" s="168">
        <v>125.89</v>
      </c>
      <c r="AE184" s="168">
        <v>862</v>
      </c>
      <c r="AF184" s="168">
        <v>633.78</v>
      </c>
      <c r="AG184" s="168"/>
      <c r="AH184" s="168"/>
      <c r="AI184" s="168"/>
      <c r="AJ184" s="168"/>
      <c r="AK184" s="168">
        <v>0</v>
      </c>
      <c r="AL184" s="168">
        <v>0</v>
      </c>
    </row>
    <row r="185" spans="1:38" ht="21">
      <c r="A185" s="346" t="s">
        <v>14</v>
      </c>
      <c r="B185" s="347"/>
      <c r="C185" s="167">
        <f>SUM(C174:C184)</f>
        <v>0</v>
      </c>
      <c r="D185" s="167">
        <f aca="true" t="shared" si="30" ref="D185:T185">SUM(D174:D184)</f>
        <v>0</v>
      </c>
      <c r="E185" s="167">
        <f t="shared" si="30"/>
        <v>0</v>
      </c>
      <c r="F185" s="167">
        <f t="shared" si="30"/>
        <v>0</v>
      </c>
      <c r="G185" s="167">
        <f t="shared" si="30"/>
        <v>0</v>
      </c>
      <c r="H185" s="167">
        <f t="shared" si="30"/>
        <v>0</v>
      </c>
      <c r="I185" s="167">
        <f t="shared" si="30"/>
        <v>2897</v>
      </c>
      <c r="J185" s="167">
        <f t="shared" si="30"/>
        <v>2819.2000000000003</v>
      </c>
      <c r="K185" s="167">
        <f t="shared" si="30"/>
        <v>724</v>
      </c>
      <c r="L185" s="167">
        <f t="shared" si="30"/>
        <v>634.29</v>
      </c>
      <c r="M185" s="167">
        <f t="shared" si="30"/>
        <v>3621</v>
      </c>
      <c r="N185" s="167">
        <f t="shared" si="30"/>
        <v>3453.4900000000002</v>
      </c>
      <c r="O185" s="167">
        <f t="shared" si="30"/>
        <v>0</v>
      </c>
      <c r="P185" s="167">
        <f t="shared" si="30"/>
        <v>0</v>
      </c>
      <c r="Q185" s="167">
        <f t="shared" si="30"/>
        <v>17</v>
      </c>
      <c r="R185" s="167">
        <f t="shared" si="30"/>
        <v>19.56</v>
      </c>
      <c r="S185" s="167">
        <f t="shared" si="30"/>
        <v>17</v>
      </c>
      <c r="T185" s="167">
        <f t="shared" si="30"/>
        <v>19.56</v>
      </c>
      <c r="U185" s="168">
        <f>+U174+U175+U176+U177+U178+U179+U180+U181+U182+U183+U184</f>
        <v>0</v>
      </c>
      <c r="V185" s="168">
        <f aca="true" t="shared" si="31" ref="V185:AL185">+V174+V175+V176+V177+V178+V179+V180+V181+V182+V183+V184</f>
        <v>0</v>
      </c>
      <c r="W185" s="168">
        <f t="shared" si="31"/>
        <v>0</v>
      </c>
      <c r="X185" s="168">
        <f t="shared" si="31"/>
        <v>0</v>
      </c>
      <c r="Y185" s="168">
        <f t="shared" si="31"/>
        <v>0</v>
      </c>
      <c r="Z185" s="168">
        <f t="shared" si="31"/>
        <v>0</v>
      </c>
      <c r="AA185" s="168">
        <f t="shared" si="31"/>
        <v>3808</v>
      </c>
      <c r="AB185" s="168">
        <f t="shared" si="31"/>
        <v>2681.6399999999994</v>
      </c>
      <c r="AC185" s="168">
        <f t="shared" si="31"/>
        <v>1023</v>
      </c>
      <c r="AD185" s="168">
        <f t="shared" si="31"/>
        <v>733.28</v>
      </c>
      <c r="AE185" s="168">
        <f t="shared" si="31"/>
        <v>4831</v>
      </c>
      <c r="AF185" s="168">
        <f t="shared" si="31"/>
        <v>3414.92</v>
      </c>
      <c r="AG185" s="168">
        <f t="shared" si="31"/>
        <v>0</v>
      </c>
      <c r="AH185" s="168">
        <f t="shared" si="31"/>
        <v>0</v>
      </c>
      <c r="AI185" s="168">
        <f t="shared" si="31"/>
        <v>22</v>
      </c>
      <c r="AJ185" s="168">
        <f t="shared" si="31"/>
        <v>17.28</v>
      </c>
      <c r="AK185" s="168">
        <f t="shared" si="31"/>
        <v>22</v>
      </c>
      <c r="AL185" s="168">
        <f t="shared" si="31"/>
        <v>17.28</v>
      </c>
    </row>
    <row r="186" spans="1:38" ht="21">
      <c r="A186" s="337" t="s">
        <v>328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9"/>
    </row>
    <row r="187" spans="1:38" ht="21">
      <c r="A187" s="337" t="s">
        <v>421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9"/>
    </row>
    <row r="188" spans="1:38" ht="21">
      <c r="A188" s="340" t="s">
        <v>330</v>
      </c>
      <c r="B188" s="340" t="s">
        <v>331</v>
      </c>
      <c r="C188" s="343" t="s">
        <v>332</v>
      </c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5"/>
      <c r="U188" s="343" t="s">
        <v>333</v>
      </c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5"/>
    </row>
    <row r="189" spans="1:38" ht="21">
      <c r="A189" s="341"/>
      <c r="B189" s="341"/>
      <c r="C189" s="343" t="s">
        <v>195</v>
      </c>
      <c r="D189" s="344"/>
      <c r="E189" s="344"/>
      <c r="F189" s="344"/>
      <c r="G189" s="344"/>
      <c r="H189" s="345"/>
      <c r="I189" s="343" t="s">
        <v>334</v>
      </c>
      <c r="J189" s="344"/>
      <c r="K189" s="344"/>
      <c r="L189" s="344"/>
      <c r="M189" s="344"/>
      <c r="N189" s="345"/>
      <c r="O189" s="343" t="s">
        <v>335</v>
      </c>
      <c r="P189" s="344"/>
      <c r="Q189" s="344"/>
      <c r="R189" s="344"/>
      <c r="S189" s="344"/>
      <c r="T189" s="345"/>
      <c r="U189" s="343" t="s">
        <v>195</v>
      </c>
      <c r="V189" s="344"/>
      <c r="W189" s="344"/>
      <c r="X189" s="344"/>
      <c r="Y189" s="344"/>
      <c r="Z189" s="345"/>
      <c r="AA189" s="343" t="s">
        <v>334</v>
      </c>
      <c r="AB189" s="344"/>
      <c r="AC189" s="344"/>
      <c r="AD189" s="344"/>
      <c r="AE189" s="344"/>
      <c r="AF189" s="345"/>
      <c r="AG189" s="343" t="s">
        <v>335</v>
      </c>
      <c r="AH189" s="344"/>
      <c r="AI189" s="344"/>
      <c r="AJ189" s="344"/>
      <c r="AK189" s="344"/>
      <c r="AL189" s="345"/>
    </row>
    <row r="190" spans="1:38" ht="21">
      <c r="A190" s="341"/>
      <c r="B190" s="341"/>
      <c r="C190" s="343" t="s">
        <v>336</v>
      </c>
      <c r="D190" s="345"/>
      <c r="E190" s="343" t="s">
        <v>337</v>
      </c>
      <c r="F190" s="345"/>
      <c r="G190" s="343" t="s">
        <v>14</v>
      </c>
      <c r="H190" s="345"/>
      <c r="I190" s="343" t="s">
        <v>336</v>
      </c>
      <c r="J190" s="345"/>
      <c r="K190" s="343" t="s">
        <v>337</v>
      </c>
      <c r="L190" s="345"/>
      <c r="M190" s="343" t="s">
        <v>14</v>
      </c>
      <c r="N190" s="345"/>
      <c r="O190" s="343" t="s">
        <v>336</v>
      </c>
      <c r="P190" s="345"/>
      <c r="Q190" s="343" t="s">
        <v>337</v>
      </c>
      <c r="R190" s="345"/>
      <c r="S190" s="343" t="s">
        <v>14</v>
      </c>
      <c r="T190" s="345"/>
      <c r="U190" s="343" t="s">
        <v>336</v>
      </c>
      <c r="V190" s="345"/>
      <c r="W190" s="343" t="s">
        <v>337</v>
      </c>
      <c r="X190" s="345"/>
      <c r="Y190" s="343" t="s">
        <v>14</v>
      </c>
      <c r="Z190" s="345"/>
      <c r="AA190" s="343" t="s">
        <v>336</v>
      </c>
      <c r="AB190" s="345"/>
      <c r="AC190" s="343" t="s">
        <v>337</v>
      </c>
      <c r="AD190" s="345"/>
      <c r="AE190" s="343" t="s">
        <v>14</v>
      </c>
      <c r="AF190" s="345"/>
      <c r="AG190" s="343" t="s">
        <v>336</v>
      </c>
      <c r="AH190" s="345"/>
      <c r="AI190" s="343" t="s">
        <v>337</v>
      </c>
      <c r="AJ190" s="345"/>
      <c r="AK190" s="343" t="s">
        <v>14</v>
      </c>
      <c r="AL190" s="345"/>
    </row>
    <row r="191" spans="1:38" ht="63">
      <c r="A191" s="342"/>
      <c r="B191" s="342"/>
      <c r="C191" s="167" t="s">
        <v>338</v>
      </c>
      <c r="D191" s="167" t="s">
        <v>339</v>
      </c>
      <c r="E191" s="167" t="s">
        <v>338</v>
      </c>
      <c r="F191" s="167" t="s">
        <v>339</v>
      </c>
      <c r="G191" s="167" t="s">
        <v>338</v>
      </c>
      <c r="H191" s="167" t="s">
        <v>339</v>
      </c>
      <c r="I191" s="167" t="s">
        <v>338</v>
      </c>
      <c r="J191" s="167" t="s">
        <v>339</v>
      </c>
      <c r="K191" s="167" t="s">
        <v>338</v>
      </c>
      <c r="L191" s="167" t="s">
        <v>339</v>
      </c>
      <c r="M191" s="167" t="s">
        <v>338</v>
      </c>
      <c r="N191" s="167" t="s">
        <v>339</v>
      </c>
      <c r="O191" s="167" t="s">
        <v>338</v>
      </c>
      <c r="P191" s="167" t="s">
        <v>339</v>
      </c>
      <c r="Q191" s="167" t="s">
        <v>338</v>
      </c>
      <c r="R191" s="167" t="s">
        <v>339</v>
      </c>
      <c r="S191" s="167" t="s">
        <v>338</v>
      </c>
      <c r="T191" s="167" t="s">
        <v>339</v>
      </c>
      <c r="U191" s="168" t="s">
        <v>338</v>
      </c>
      <c r="V191" s="168" t="s">
        <v>339</v>
      </c>
      <c r="W191" s="168" t="s">
        <v>338</v>
      </c>
      <c r="X191" s="168" t="s">
        <v>339</v>
      </c>
      <c r="Y191" s="168" t="s">
        <v>338</v>
      </c>
      <c r="Z191" s="168" t="s">
        <v>339</v>
      </c>
      <c r="AA191" s="168" t="s">
        <v>338</v>
      </c>
      <c r="AB191" s="168" t="s">
        <v>339</v>
      </c>
      <c r="AC191" s="168" t="s">
        <v>338</v>
      </c>
      <c r="AD191" s="168" t="s">
        <v>339</v>
      </c>
      <c r="AE191" s="168" t="s">
        <v>338</v>
      </c>
      <c r="AF191" s="168" t="s">
        <v>339</v>
      </c>
      <c r="AG191" s="168" t="s">
        <v>338</v>
      </c>
      <c r="AH191" s="168" t="s">
        <v>339</v>
      </c>
      <c r="AI191" s="168" t="s">
        <v>338</v>
      </c>
      <c r="AJ191" s="168" t="s">
        <v>339</v>
      </c>
      <c r="AK191" s="168" t="s">
        <v>338</v>
      </c>
      <c r="AL191" s="168" t="s">
        <v>339</v>
      </c>
    </row>
    <row r="192" spans="1:38" ht="21">
      <c r="A192" s="165">
        <v>1</v>
      </c>
      <c r="B192" s="166" t="s">
        <v>422</v>
      </c>
      <c r="C192" s="167"/>
      <c r="D192" s="167"/>
      <c r="E192" s="167"/>
      <c r="F192" s="167"/>
      <c r="G192" s="167">
        <v>0</v>
      </c>
      <c r="H192" s="167">
        <v>0</v>
      </c>
      <c r="I192" s="167">
        <v>230</v>
      </c>
      <c r="J192" s="167">
        <v>221.33</v>
      </c>
      <c r="K192" s="167"/>
      <c r="L192" s="167"/>
      <c r="M192" s="167">
        <v>230</v>
      </c>
      <c r="N192" s="167">
        <v>221.33</v>
      </c>
      <c r="O192" s="167"/>
      <c r="P192" s="167"/>
      <c r="Q192" s="167"/>
      <c r="R192" s="167"/>
      <c r="S192" s="167">
        <v>0</v>
      </c>
      <c r="T192" s="167">
        <v>0</v>
      </c>
      <c r="U192" s="168"/>
      <c r="V192" s="168"/>
      <c r="W192" s="168"/>
      <c r="X192" s="168"/>
      <c r="Y192" s="168">
        <v>0</v>
      </c>
      <c r="Z192" s="168">
        <v>0</v>
      </c>
      <c r="AA192" s="168">
        <v>257</v>
      </c>
      <c r="AB192" s="168">
        <v>221.97</v>
      </c>
      <c r="AC192" s="168"/>
      <c r="AD192" s="168"/>
      <c r="AE192" s="168">
        <v>257</v>
      </c>
      <c r="AF192" s="168">
        <v>221.97</v>
      </c>
      <c r="AG192" s="168"/>
      <c r="AH192" s="168"/>
      <c r="AI192" s="168"/>
      <c r="AJ192" s="168"/>
      <c r="AK192" s="168">
        <v>0</v>
      </c>
      <c r="AL192" s="168">
        <v>0</v>
      </c>
    </row>
    <row r="193" spans="1:38" ht="21">
      <c r="A193" s="165">
        <v>2</v>
      </c>
      <c r="B193" s="166" t="s">
        <v>423</v>
      </c>
      <c r="C193" s="167"/>
      <c r="D193" s="167"/>
      <c r="E193" s="167"/>
      <c r="F193" s="167"/>
      <c r="G193" s="167">
        <v>0</v>
      </c>
      <c r="H193" s="167">
        <v>0</v>
      </c>
      <c r="I193" s="167">
        <v>191</v>
      </c>
      <c r="J193" s="167">
        <v>187.06</v>
      </c>
      <c r="K193" s="167">
        <v>3</v>
      </c>
      <c r="L193" s="167">
        <v>0.25</v>
      </c>
      <c r="M193" s="167">
        <v>194</v>
      </c>
      <c r="N193" s="167">
        <v>187.31</v>
      </c>
      <c r="O193" s="167"/>
      <c r="P193" s="167"/>
      <c r="Q193" s="167"/>
      <c r="R193" s="167"/>
      <c r="S193" s="167">
        <v>0</v>
      </c>
      <c r="T193" s="167">
        <v>0</v>
      </c>
      <c r="U193" s="168"/>
      <c r="V193" s="168"/>
      <c r="W193" s="168"/>
      <c r="X193" s="168"/>
      <c r="Y193" s="168">
        <v>0</v>
      </c>
      <c r="Z193" s="168">
        <v>0</v>
      </c>
      <c r="AA193" s="168">
        <v>220</v>
      </c>
      <c r="AB193" s="168">
        <v>158.97</v>
      </c>
      <c r="AC193" s="168">
        <v>4</v>
      </c>
      <c r="AD193" s="168">
        <v>0.33</v>
      </c>
      <c r="AE193" s="168">
        <v>224</v>
      </c>
      <c r="AF193" s="168">
        <v>159.3</v>
      </c>
      <c r="AG193" s="168"/>
      <c r="AH193" s="168"/>
      <c r="AI193" s="168"/>
      <c r="AJ193" s="168"/>
      <c r="AK193" s="168">
        <v>0</v>
      </c>
      <c r="AL193" s="168">
        <v>0</v>
      </c>
    </row>
    <row r="194" spans="1:38" ht="21">
      <c r="A194" s="165">
        <v>3</v>
      </c>
      <c r="B194" s="166" t="s">
        <v>424</v>
      </c>
      <c r="C194" s="167"/>
      <c r="D194" s="167"/>
      <c r="E194" s="167"/>
      <c r="F194" s="167"/>
      <c r="G194" s="167">
        <v>0</v>
      </c>
      <c r="H194" s="167">
        <v>0</v>
      </c>
      <c r="I194" s="167">
        <v>139</v>
      </c>
      <c r="J194" s="167">
        <v>134.31</v>
      </c>
      <c r="K194" s="167"/>
      <c r="L194" s="167"/>
      <c r="M194" s="167">
        <v>139</v>
      </c>
      <c r="N194" s="167">
        <v>134.31</v>
      </c>
      <c r="O194" s="167"/>
      <c r="P194" s="167"/>
      <c r="Q194" s="167"/>
      <c r="R194" s="167"/>
      <c r="S194" s="167">
        <v>0</v>
      </c>
      <c r="T194" s="167">
        <v>0</v>
      </c>
      <c r="U194" s="168"/>
      <c r="V194" s="168"/>
      <c r="W194" s="168"/>
      <c r="X194" s="168"/>
      <c r="Y194" s="168">
        <v>0</v>
      </c>
      <c r="Z194" s="168">
        <v>0</v>
      </c>
      <c r="AA194" s="168">
        <v>162</v>
      </c>
      <c r="AB194" s="168">
        <v>146.36</v>
      </c>
      <c r="AC194" s="168"/>
      <c r="AD194" s="168"/>
      <c r="AE194" s="168">
        <v>162</v>
      </c>
      <c r="AF194" s="168">
        <v>146.36</v>
      </c>
      <c r="AG194" s="168"/>
      <c r="AH194" s="168"/>
      <c r="AI194" s="168"/>
      <c r="AJ194" s="168"/>
      <c r="AK194" s="168">
        <v>0</v>
      </c>
      <c r="AL194" s="168">
        <v>0</v>
      </c>
    </row>
    <row r="195" spans="1:38" ht="21">
      <c r="A195" s="165">
        <v>4</v>
      </c>
      <c r="B195" s="166" t="s">
        <v>425</v>
      </c>
      <c r="C195" s="167"/>
      <c r="D195" s="167"/>
      <c r="E195" s="167"/>
      <c r="F195" s="167"/>
      <c r="G195" s="167">
        <v>0</v>
      </c>
      <c r="H195" s="167">
        <v>0</v>
      </c>
      <c r="I195" s="167">
        <v>169</v>
      </c>
      <c r="J195" s="167">
        <v>153.17</v>
      </c>
      <c r="K195" s="167"/>
      <c r="L195" s="167"/>
      <c r="M195" s="167">
        <v>169</v>
      </c>
      <c r="N195" s="167">
        <v>153.17</v>
      </c>
      <c r="O195" s="167"/>
      <c r="P195" s="167"/>
      <c r="Q195" s="167"/>
      <c r="R195" s="167"/>
      <c r="S195" s="167">
        <v>0</v>
      </c>
      <c r="T195" s="167">
        <v>0</v>
      </c>
      <c r="U195" s="168"/>
      <c r="V195" s="168"/>
      <c r="W195" s="168"/>
      <c r="X195" s="168"/>
      <c r="Y195" s="168">
        <v>0</v>
      </c>
      <c r="Z195" s="168">
        <v>0</v>
      </c>
      <c r="AA195" s="168">
        <v>207</v>
      </c>
      <c r="AB195" s="168">
        <v>144.94</v>
      </c>
      <c r="AC195" s="168"/>
      <c r="AD195" s="168"/>
      <c r="AE195" s="168">
        <v>207</v>
      </c>
      <c r="AF195" s="168">
        <v>144.94</v>
      </c>
      <c r="AG195" s="168"/>
      <c r="AH195" s="168"/>
      <c r="AI195" s="168"/>
      <c r="AJ195" s="168"/>
      <c r="AK195" s="168">
        <v>0</v>
      </c>
      <c r="AL195" s="168">
        <v>0</v>
      </c>
    </row>
    <row r="196" spans="1:38" ht="21">
      <c r="A196" s="165">
        <v>5</v>
      </c>
      <c r="B196" s="166" t="s">
        <v>406</v>
      </c>
      <c r="C196" s="167"/>
      <c r="D196" s="167"/>
      <c r="E196" s="167"/>
      <c r="F196" s="167"/>
      <c r="G196" s="167">
        <v>0</v>
      </c>
      <c r="H196" s="167">
        <v>0</v>
      </c>
      <c r="I196" s="167">
        <v>239</v>
      </c>
      <c r="J196" s="167">
        <v>231.67</v>
      </c>
      <c r="K196" s="167"/>
      <c r="L196" s="167"/>
      <c r="M196" s="167">
        <v>239</v>
      </c>
      <c r="N196" s="167">
        <v>231.67</v>
      </c>
      <c r="O196" s="167"/>
      <c r="P196" s="167"/>
      <c r="Q196" s="167"/>
      <c r="R196" s="167"/>
      <c r="S196" s="167">
        <v>0</v>
      </c>
      <c r="T196" s="167">
        <v>0</v>
      </c>
      <c r="U196" s="168"/>
      <c r="V196" s="168"/>
      <c r="W196" s="168"/>
      <c r="X196" s="168"/>
      <c r="Y196" s="168">
        <v>0</v>
      </c>
      <c r="Z196" s="168">
        <v>0</v>
      </c>
      <c r="AA196" s="168">
        <v>298</v>
      </c>
      <c r="AB196" s="168">
        <v>251.25</v>
      </c>
      <c r="AC196" s="168"/>
      <c r="AD196" s="168"/>
      <c r="AE196" s="168">
        <v>298</v>
      </c>
      <c r="AF196" s="168">
        <v>251.25</v>
      </c>
      <c r="AG196" s="168"/>
      <c r="AH196" s="168"/>
      <c r="AI196" s="168"/>
      <c r="AJ196" s="168"/>
      <c r="AK196" s="168">
        <v>0</v>
      </c>
      <c r="AL196" s="168">
        <v>0</v>
      </c>
    </row>
    <row r="197" spans="1:38" ht="21">
      <c r="A197" s="165">
        <v>6</v>
      </c>
      <c r="B197" s="166" t="s">
        <v>426</v>
      </c>
      <c r="C197" s="167"/>
      <c r="D197" s="167"/>
      <c r="E197" s="167"/>
      <c r="F197" s="167"/>
      <c r="G197" s="167">
        <v>0</v>
      </c>
      <c r="H197" s="167">
        <v>0</v>
      </c>
      <c r="I197" s="167">
        <v>255</v>
      </c>
      <c r="J197" s="167">
        <v>230.08</v>
      </c>
      <c r="K197" s="167"/>
      <c r="L197" s="167"/>
      <c r="M197" s="167">
        <v>255</v>
      </c>
      <c r="N197" s="167">
        <v>230.08</v>
      </c>
      <c r="O197" s="167"/>
      <c r="P197" s="167"/>
      <c r="Q197" s="167"/>
      <c r="R197" s="167"/>
      <c r="S197" s="167">
        <v>0</v>
      </c>
      <c r="T197" s="167">
        <v>0</v>
      </c>
      <c r="U197" s="168"/>
      <c r="V197" s="168"/>
      <c r="W197" s="168"/>
      <c r="X197" s="168"/>
      <c r="Y197" s="168">
        <v>0</v>
      </c>
      <c r="Z197" s="168">
        <v>0</v>
      </c>
      <c r="AA197" s="168">
        <v>296</v>
      </c>
      <c r="AB197" s="168">
        <v>229.44</v>
      </c>
      <c r="AC197" s="168">
        <v>2</v>
      </c>
      <c r="AD197" s="168">
        <v>0.42</v>
      </c>
      <c r="AE197" s="168">
        <v>298</v>
      </c>
      <c r="AF197" s="168">
        <v>229.86</v>
      </c>
      <c r="AG197" s="168"/>
      <c r="AH197" s="168"/>
      <c r="AI197" s="168"/>
      <c r="AJ197" s="168"/>
      <c r="AK197" s="168">
        <v>0</v>
      </c>
      <c r="AL197" s="168">
        <v>0</v>
      </c>
    </row>
    <row r="198" spans="1:38" ht="21">
      <c r="A198" s="165">
        <v>7</v>
      </c>
      <c r="B198" s="166" t="s">
        <v>427</v>
      </c>
      <c r="C198" s="167"/>
      <c r="D198" s="167"/>
      <c r="E198" s="167"/>
      <c r="F198" s="167"/>
      <c r="G198" s="167">
        <v>0</v>
      </c>
      <c r="H198" s="167">
        <v>0</v>
      </c>
      <c r="I198" s="167">
        <v>108</v>
      </c>
      <c r="J198" s="167">
        <v>112.47</v>
      </c>
      <c r="K198" s="167"/>
      <c r="L198" s="167"/>
      <c r="M198" s="167">
        <v>108</v>
      </c>
      <c r="N198" s="167">
        <v>112.47</v>
      </c>
      <c r="O198" s="167"/>
      <c r="P198" s="167"/>
      <c r="Q198" s="167"/>
      <c r="R198" s="167"/>
      <c r="S198" s="167">
        <v>0</v>
      </c>
      <c r="T198" s="167">
        <v>0</v>
      </c>
      <c r="U198" s="168"/>
      <c r="V198" s="168"/>
      <c r="W198" s="168"/>
      <c r="X198" s="168"/>
      <c r="Y198" s="168">
        <v>0</v>
      </c>
      <c r="Z198" s="168">
        <v>0</v>
      </c>
      <c r="AA198" s="168">
        <v>110</v>
      </c>
      <c r="AB198" s="168">
        <v>110.56</v>
      </c>
      <c r="AC198" s="168"/>
      <c r="AD198" s="168"/>
      <c r="AE198" s="168">
        <v>110</v>
      </c>
      <c r="AF198" s="168">
        <v>110.56</v>
      </c>
      <c r="AG198" s="168"/>
      <c r="AH198" s="168"/>
      <c r="AI198" s="168"/>
      <c r="AJ198" s="168"/>
      <c r="AK198" s="168">
        <v>0</v>
      </c>
      <c r="AL198" s="168">
        <v>0</v>
      </c>
    </row>
    <row r="199" spans="1:38" ht="21">
      <c r="A199" s="165">
        <v>8</v>
      </c>
      <c r="B199" s="166" t="s">
        <v>428</v>
      </c>
      <c r="C199" s="167"/>
      <c r="D199" s="167"/>
      <c r="E199" s="167"/>
      <c r="F199" s="167"/>
      <c r="G199" s="167">
        <v>0</v>
      </c>
      <c r="H199" s="167">
        <v>0</v>
      </c>
      <c r="I199" s="167">
        <v>32</v>
      </c>
      <c r="J199" s="167">
        <v>27.19</v>
      </c>
      <c r="K199" s="167"/>
      <c r="L199" s="167"/>
      <c r="M199" s="167">
        <v>32</v>
      </c>
      <c r="N199" s="167">
        <v>27.19</v>
      </c>
      <c r="O199" s="167"/>
      <c r="P199" s="167"/>
      <c r="Q199" s="167"/>
      <c r="R199" s="167"/>
      <c r="S199" s="167">
        <v>0</v>
      </c>
      <c r="T199" s="167">
        <v>0</v>
      </c>
      <c r="U199" s="168"/>
      <c r="V199" s="168"/>
      <c r="W199" s="168"/>
      <c r="X199" s="168"/>
      <c r="Y199" s="168">
        <v>0</v>
      </c>
      <c r="Z199" s="168">
        <v>0</v>
      </c>
      <c r="AA199" s="168">
        <v>44</v>
      </c>
      <c r="AB199" s="168">
        <v>30.33</v>
      </c>
      <c r="AC199" s="168"/>
      <c r="AD199" s="168"/>
      <c r="AE199" s="168">
        <v>44</v>
      </c>
      <c r="AF199" s="168">
        <v>30.33</v>
      </c>
      <c r="AG199" s="168"/>
      <c r="AH199" s="168"/>
      <c r="AI199" s="168"/>
      <c r="AJ199" s="168"/>
      <c r="AK199" s="168">
        <v>0</v>
      </c>
      <c r="AL199" s="168">
        <v>0</v>
      </c>
    </row>
    <row r="200" spans="1:38" ht="21">
      <c r="A200" s="165">
        <v>9</v>
      </c>
      <c r="B200" s="166" t="s">
        <v>429</v>
      </c>
      <c r="C200" s="167"/>
      <c r="D200" s="167"/>
      <c r="E200" s="167"/>
      <c r="F200" s="167"/>
      <c r="G200" s="167">
        <v>0</v>
      </c>
      <c r="H200" s="167">
        <v>0</v>
      </c>
      <c r="I200" s="167">
        <v>151</v>
      </c>
      <c r="J200" s="167">
        <v>127.42</v>
      </c>
      <c r="K200" s="167">
        <v>139</v>
      </c>
      <c r="L200" s="167">
        <v>111.36</v>
      </c>
      <c r="M200" s="167">
        <v>290</v>
      </c>
      <c r="N200" s="167">
        <v>238.78</v>
      </c>
      <c r="O200" s="167"/>
      <c r="P200" s="167"/>
      <c r="Q200" s="167"/>
      <c r="R200" s="167"/>
      <c r="S200" s="167">
        <v>0</v>
      </c>
      <c r="T200" s="167">
        <v>0</v>
      </c>
      <c r="U200" s="168"/>
      <c r="V200" s="168"/>
      <c r="W200" s="168"/>
      <c r="X200" s="168"/>
      <c r="Y200" s="168">
        <v>0</v>
      </c>
      <c r="Z200" s="168">
        <v>0</v>
      </c>
      <c r="AA200" s="168">
        <v>200</v>
      </c>
      <c r="AB200" s="168">
        <v>148.33</v>
      </c>
      <c r="AC200" s="168">
        <v>180</v>
      </c>
      <c r="AD200" s="168">
        <v>164.06</v>
      </c>
      <c r="AE200" s="168">
        <v>380</v>
      </c>
      <c r="AF200" s="168">
        <v>312.39</v>
      </c>
      <c r="AG200" s="168"/>
      <c r="AH200" s="168"/>
      <c r="AI200" s="168"/>
      <c r="AJ200" s="168"/>
      <c r="AK200" s="168">
        <v>0</v>
      </c>
      <c r="AL200" s="168">
        <v>0</v>
      </c>
    </row>
    <row r="201" spans="1:38" ht="21">
      <c r="A201" s="165">
        <v>10</v>
      </c>
      <c r="B201" s="166" t="s">
        <v>383</v>
      </c>
      <c r="C201" s="167"/>
      <c r="D201" s="167"/>
      <c r="E201" s="167"/>
      <c r="F201" s="167"/>
      <c r="G201" s="167">
        <v>0</v>
      </c>
      <c r="H201" s="167">
        <v>0</v>
      </c>
      <c r="I201" s="167">
        <v>319</v>
      </c>
      <c r="J201" s="167">
        <v>302.97</v>
      </c>
      <c r="K201" s="167"/>
      <c r="L201" s="167"/>
      <c r="M201" s="167">
        <v>319</v>
      </c>
      <c r="N201" s="167">
        <v>302.97</v>
      </c>
      <c r="O201" s="167">
        <v>5</v>
      </c>
      <c r="P201" s="167">
        <v>2.06</v>
      </c>
      <c r="Q201" s="167">
        <v>32</v>
      </c>
      <c r="R201" s="167">
        <v>34.56</v>
      </c>
      <c r="S201" s="167">
        <v>37</v>
      </c>
      <c r="T201" s="167">
        <v>36.62</v>
      </c>
      <c r="U201" s="168"/>
      <c r="V201" s="168"/>
      <c r="W201" s="168"/>
      <c r="X201" s="168"/>
      <c r="Y201" s="168">
        <v>0</v>
      </c>
      <c r="Z201" s="168">
        <v>0</v>
      </c>
      <c r="AA201" s="168">
        <v>355</v>
      </c>
      <c r="AB201" s="168">
        <v>290.19</v>
      </c>
      <c r="AC201" s="168"/>
      <c r="AD201" s="168"/>
      <c r="AE201" s="168">
        <v>355</v>
      </c>
      <c r="AF201" s="168">
        <v>290.19</v>
      </c>
      <c r="AG201" s="168">
        <v>6</v>
      </c>
      <c r="AH201" s="168">
        <v>3.39</v>
      </c>
      <c r="AI201" s="168">
        <v>34</v>
      </c>
      <c r="AJ201" s="168">
        <v>24.28</v>
      </c>
      <c r="AK201" s="168">
        <v>40</v>
      </c>
      <c r="AL201" s="168">
        <v>27.67</v>
      </c>
    </row>
    <row r="202" spans="1:38" ht="21">
      <c r="A202" s="165">
        <v>11</v>
      </c>
      <c r="B202" s="166" t="s">
        <v>430</v>
      </c>
      <c r="C202" s="167"/>
      <c r="D202" s="167"/>
      <c r="E202" s="167"/>
      <c r="F202" s="167"/>
      <c r="G202" s="167">
        <v>0</v>
      </c>
      <c r="H202" s="167">
        <v>0</v>
      </c>
      <c r="I202" s="167"/>
      <c r="J202" s="167"/>
      <c r="K202" s="167"/>
      <c r="L202" s="167"/>
      <c r="M202" s="167">
        <v>0</v>
      </c>
      <c r="N202" s="167">
        <v>0</v>
      </c>
      <c r="O202" s="167"/>
      <c r="P202" s="167"/>
      <c r="Q202" s="167"/>
      <c r="R202" s="167"/>
      <c r="S202" s="167">
        <v>0</v>
      </c>
      <c r="T202" s="167">
        <v>0</v>
      </c>
      <c r="U202" s="168"/>
      <c r="V202" s="168"/>
      <c r="W202" s="168"/>
      <c r="X202" s="168"/>
      <c r="Y202" s="168">
        <v>0</v>
      </c>
      <c r="Z202" s="168">
        <v>0</v>
      </c>
      <c r="AA202" s="168"/>
      <c r="AB202" s="168"/>
      <c r="AC202" s="168"/>
      <c r="AD202" s="168"/>
      <c r="AE202" s="168">
        <v>0</v>
      </c>
      <c r="AF202" s="168">
        <v>0</v>
      </c>
      <c r="AG202" s="168"/>
      <c r="AH202" s="168"/>
      <c r="AI202" s="168"/>
      <c r="AJ202" s="168"/>
      <c r="AK202" s="168">
        <v>0</v>
      </c>
      <c r="AL202" s="168">
        <v>0</v>
      </c>
    </row>
    <row r="203" spans="1:38" ht="21">
      <c r="A203" s="165">
        <v>12</v>
      </c>
      <c r="B203" s="166" t="s">
        <v>384</v>
      </c>
      <c r="C203" s="167"/>
      <c r="D203" s="167"/>
      <c r="E203" s="167"/>
      <c r="F203" s="167"/>
      <c r="G203" s="167">
        <v>0</v>
      </c>
      <c r="H203" s="167">
        <v>0</v>
      </c>
      <c r="I203" s="167">
        <v>243</v>
      </c>
      <c r="J203" s="167">
        <v>222.14</v>
      </c>
      <c r="K203" s="167">
        <v>28</v>
      </c>
      <c r="L203" s="167">
        <v>9.17</v>
      </c>
      <c r="M203" s="167">
        <v>271</v>
      </c>
      <c r="N203" s="167">
        <v>231.31</v>
      </c>
      <c r="O203" s="167"/>
      <c r="P203" s="167"/>
      <c r="Q203" s="167"/>
      <c r="R203" s="167"/>
      <c r="S203" s="167">
        <v>0</v>
      </c>
      <c r="T203" s="167">
        <v>0</v>
      </c>
      <c r="U203" s="168"/>
      <c r="V203" s="168"/>
      <c r="W203" s="168"/>
      <c r="X203" s="168"/>
      <c r="Y203" s="168">
        <v>0</v>
      </c>
      <c r="Z203" s="168">
        <v>0</v>
      </c>
      <c r="AA203" s="168">
        <v>279</v>
      </c>
      <c r="AB203" s="168">
        <v>229.25</v>
      </c>
      <c r="AC203" s="168">
        <v>38</v>
      </c>
      <c r="AD203" s="168">
        <v>20.31</v>
      </c>
      <c r="AE203" s="168">
        <v>317</v>
      </c>
      <c r="AF203" s="168">
        <v>249.56</v>
      </c>
      <c r="AG203" s="168"/>
      <c r="AH203" s="168"/>
      <c r="AI203" s="168"/>
      <c r="AJ203" s="168"/>
      <c r="AK203" s="168">
        <v>0</v>
      </c>
      <c r="AL203" s="168">
        <v>0</v>
      </c>
    </row>
    <row r="204" spans="1:38" ht="21">
      <c r="A204" s="165">
        <v>13</v>
      </c>
      <c r="B204" s="166" t="s">
        <v>396</v>
      </c>
      <c r="C204" s="167"/>
      <c r="D204" s="167"/>
      <c r="E204" s="167"/>
      <c r="F204" s="167"/>
      <c r="G204" s="167">
        <v>0</v>
      </c>
      <c r="H204" s="167">
        <v>0</v>
      </c>
      <c r="I204" s="167"/>
      <c r="J204" s="167"/>
      <c r="K204" s="167"/>
      <c r="L204" s="167"/>
      <c r="M204" s="167">
        <v>0</v>
      </c>
      <c r="N204" s="167">
        <v>0</v>
      </c>
      <c r="O204" s="167"/>
      <c r="P204" s="167"/>
      <c r="Q204" s="167"/>
      <c r="R204" s="167"/>
      <c r="S204" s="167">
        <v>0</v>
      </c>
      <c r="T204" s="167">
        <v>0</v>
      </c>
      <c r="U204" s="168"/>
      <c r="V204" s="168"/>
      <c r="W204" s="168"/>
      <c r="X204" s="168"/>
      <c r="Y204" s="168">
        <v>0</v>
      </c>
      <c r="Z204" s="168">
        <v>0</v>
      </c>
      <c r="AA204" s="168"/>
      <c r="AB204" s="168"/>
      <c r="AC204" s="168"/>
      <c r="AD204" s="168"/>
      <c r="AE204" s="168">
        <v>0</v>
      </c>
      <c r="AF204" s="168">
        <v>0</v>
      </c>
      <c r="AG204" s="168"/>
      <c r="AH204" s="168"/>
      <c r="AI204" s="168"/>
      <c r="AJ204" s="168"/>
      <c r="AK204" s="168">
        <v>0</v>
      </c>
      <c r="AL204" s="168">
        <v>0</v>
      </c>
    </row>
    <row r="205" spans="1:38" ht="21">
      <c r="A205" s="165">
        <v>14</v>
      </c>
      <c r="B205" s="166" t="s">
        <v>347</v>
      </c>
      <c r="C205" s="167"/>
      <c r="D205" s="167"/>
      <c r="E205" s="167"/>
      <c r="F205" s="167"/>
      <c r="G205" s="167">
        <v>0</v>
      </c>
      <c r="H205" s="167">
        <v>0</v>
      </c>
      <c r="I205" s="167">
        <v>125</v>
      </c>
      <c r="J205" s="167">
        <v>123.53</v>
      </c>
      <c r="K205" s="167">
        <v>81</v>
      </c>
      <c r="L205" s="167">
        <v>54.33</v>
      </c>
      <c r="M205" s="167">
        <v>206</v>
      </c>
      <c r="N205" s="167">
        <v>177.86</v>
      </c>
      <c r="O205" s="167"/>
      <c r="P205" s="167"/>
      <c r="Q205" s="167"/>
      <c r="R205" s="167"/>
      <c r="S205" s="167">
        <v>0</v>
      </c>
      <c r="T205" s="167">
        <v>0</v>
      </c>
      <c r="U205" s="168"/>
      <c r="V205" s="168"/>
      <c r="W205" s="168"/>
      <c r="X205" s="168"/>
      <c r="Y205" s="168">
        <v>0</v>
      </c>
      <c r="Z205" s="168">
        <v>0</v>
      </c>
      <c r="AA205" s="168">
        <v>180</v>
      </c>
      <c r="AB205" s="168">
        <v>130.17</v>
      </c>
      <c r="AC205" s="168">
        <v>92</v>
      </c>
      <c r="AD205" s="168">
        <v>61.64</v>
      </c>
      <c r="AE205" s="168">
        <v>272</v>
      </c>
      <c r="AF205" s="168">
        <v>191.81</v>
      </c>
      <c r="AG205" s="168"/>
      <c r="AH205" s="168"/>
      <c r="AI205" s="168"/>
      <c r="AJ205" s="168"/>
      <c r="AK205" s="168">
        <v>0</v>
      </c>
      <c r="AL205" s="168">
        <v>0</v>
      </c>
    </row>
    <row r="206" spans="1:38" ht="21">
      <c r="A206" s="165">
        <v>15</v>
      </c>
      <c r="B206" s="166" t="s">
        <v>431</v>
      </c>
      <c r="C206" s="167"/>
      <c r="D206" s="167"/>
      <c r="E206" s="167"/>
      <c r="F206" s="167"/>
      <c r="G206" s="167">
        <v>0</v>
      </c>
      <c r="H206" s="167">
        <v>0</v>
      </c>
      <c r="I206" s="167">
        <v>82</v>
      </c>
      <c r="J206" s="167">
        <v>76.83</v>
      </c>
      <c r="K206" s="167">
        <v>75</v>
      </c>
      <c r="L206" s="167">
        <v>37.69</v>
      </c>
      <c r="M206" s="167">
        <v>157</v>
      </c>
      <c r="N206" s="167">
        <v>114.52</v>
      </c>
      <c r="O206" s="167"/>
      <c r="P206" s="167"/>
      <c r="Q206" s="167"/>
      <c r="R206" s="167"/>
      <c r="S206" s="167">
        <v>0</v>
      </c>
      <c r="T206" s="167">
        <v>0</v>
      </c>
      <c r="U206" s="168"/>
      <c r="V206" s="168"/>
      <c r="W206" s="168"/>
      <c r="X206" s="168"/>
      <c r="Y206" s="168">
        <v>0</v>
      </c>
      <c r="Z206" s="168">
        <v>0</v>
      </c>
      <c r="AA206" s="168">
        <v>118</v>
      </c>
      <c r="AB206" s="168">
        <v>84.64</v>
      </c>
      <c r="AC206" s="168">
        <v>80</v>
      </c>
      <c r="AD206" s="168">
        <v>66.58</v>
      </c>
      <c r="AE206" s="168">
        <v>198</v>
      </c>
      <c r="AF206" s="168">
        <v>151.22</v>
      </c>
      <c r="AG206" s="168"/>
      <c r="AH206" s="168"/>
      <c r="AI206" s="168"/>
      <c r="AJ206" s="168"/>
      <c r="AK206" s="168">
        <v>0</v>
      </c>
      <c r="AL206" s="168">
        <v>0</v>
      </c>
    </row>
    <row r="207" spans="1:38" ht="21">
      <c r="A207" s="346" t="s">
        <v>14</v>
      </c>
      <c r="B207" s="347"/>
      <c r="C207" s="167">
        <f>SUM(C192:C206)</f>
        <v>0</v>
      </c>
      <c r="D207" s="167">
        <f aca="true" t="shared" si="32" ref="D207:T207">SUM(D192:D206)</f>
        <v>0</v>
      </c>
      <c r="E207" s="167">
        <f t="shared" si="32"/>
        <v>0</v>
      </c>
      <c r="F207" s="167">
        <f t="shared" si="32"/>
        <v>0</v>
      </c>
      <c r="G207" s="167">
        <f t="shared" si="32"/>
        <v>0</v>
      </c>
      <c r="H207" s="167">
        <f t="shared" si="32"/>
        <v>0</v>
      </c>
      <c r="I207" s="167">
        <f t="shared" si="32"/>
        <v>2283</v>
      </c>
      <c r="J207" s="167">
        <f t="shared" si="32"/>
        <v>2150.17</v>
      </c>
      <c r="K207" s="167">
        <f t="shared" si="32"/>
        <v>326</v>
      </c>
      <c r="L207" s="167">
        <f t="shared" si="32"/>
        <v>212.8</v>
      </c>
      <c r="M207" s="167">
        <f t="shared" si="32"/>
        <v>2609</v>
      </c>
      <c r="N207" s="167">
        <f t="shared" si="32"/>
        <v>2362.9700000000003</v>
      </c>
      <c r="O207" s="167">
        <f t="shared" si="32"/>
        <v>5</v>
      </c>
      <c r="P207" s="167">
        <f t="shared" si="32"/>
        <v>2.06</v>
      </c>
      <c r="Q207" s="167">
        <f t="shared" si="32"/>
        <v>32</v>
      </c>
      <c r="R207" s="167">
        <f t="shared" si="32"/>
        <v>34.56</v>
      </c>
      <c r="S207" s="167">
        <f t="shared" si="32"/>
        <v>37</v>
      </c>
      <c r="T207" s="167">
        <f t="shared" si="32"/>
        <v>36.62</v>
      </c>
      <c r="U207" s="168">
        <f>+U192+U193+U194+U195+U196+U197+U198+U199+U200+U201+U202+U203+U204+U205+U206</f>
        <v>0</v>
      </c>
      <c r="V207" s="168">
        <f aca="true" t="shared" si="33" ref="V207:AL207">+V192+V193+V194+V195+V196+V197+V198+V199+V200+V201+V202+V203+V204+V205+V206</f>
        <v>0</v>
      </c>
      <c r="W207" s="168">
        <f t="shared" si="33"/>
        <v>0</v>
      </c>
      <c r="X207" s="168">
        <f t="shared" si="33"/>
        <v>0</v>
      </c>
      <c r="Y207" s="168">
        <f t="shared" si="33"/>
        <v>0</v>
      </c>
      <c r="Z207" s="168">
        <f t="shared" si="33"/>
        <v>0</v>
      </c>
      <c r="AA207" s="168">
        <f t="shared" si="33"/>
        <v>2726</v>
      </c>
      <c r="AB207" s="168">
        <f t="shared" si="33"/>
        <v>2176.3999999999996</v>
      </c>
      <c r="AC207" s="168">
        <f t="shared" si="33"/>
        <v>396</v>
      </c>
      <c r="AD207" s="168">
        <f t="shared" si="33"/>
        <v>313.34</v>
      </c>
      <c r="AE207" s="168">
        <f t="shared" si="33"/>
        <v>3122</v>
      </c>
      <c r="AF207" s="168">
        <f t="shared" si="33"/>
        <v>2489.7399999999993</v>
      </c>
      <c r="AG207" s="168">
        <f t="shared" si="33"/>
        <v>6</v>
      </c>
      <c r="AH207" s="168">
        <f t="shared" si="33"/>
        <v>3.39</v>
      </c>
      <c r="AI207" s="168">
        <f t="shared" si="33"/>
        <v>34</v>
      </c>
      <c r="AJ207" s="168">
        <f t="shared" si="33"/>
        <v>24.28</v>
      </c>
      <c r="AK207" s="168">
        <f t="shared" si="33"/>
        <v>40</v>
      </c>
      <c r="AL207" s="168">
        <f t="shared" si="33"/>
        <v>27.67</v>
      </c>
    </row>
    <row r="208" spans="1:38" ht="21">
      <c r="A208" s="337" t="s">
        <v>328</v>
      </c>
      <c r="B208" s="338"/>
      <c r="C208" s="338"/>
      <c r="D208" s="338"/>
      <c r="E208" s="338"/>
      <c r="F208" s="338"/>
      <c r="G208" s="338"/>
      <c r="H208" s="338"/>
      <c r="I208" s="338"/>
      <c r="J208" s="338"/>
      <c r="K208" s="338"/>
      <c r="L208" s="338"/>
      <c r="M208" s="338"/>
      <c r="N208" s="338"/>
      <c r="O208" s="338"/>
      <c r="P208" s="338"/>
      <c r="Q208" s="338"/>
      <c r="R208" s="338"/>
      <c r="S208" s="338"/>
      <c r="T208" s="338"/>
      <c r="U208" s="338"/>
      <c r="V208" s="338"/>
      <c r="W208" s="338"/>
      <c r="X208" s="338"/>
      <c r="Y208" s="338"/>
      <c r="Z208" s="338"/>
      <c r="AA208" s="338"/>
      <c r="AB208" s="338"/>
      <c r="AC208" s="338"/>
      <c r="AD208" s="338"/>
      <c r="AE208" s="338"/>
      <c r="AF208" s="338"/>
      <c r="AG208" s="338"/>
      <c r="AH208" s="338"/>
      <c r="AI208" s="338"/>
      <c r="AJ208" s="338"/>
      <c r="AK208" s="338"/>
      <c r="AL208" s="339"/>
    </row>
    <row r="209" spans="1:38" ht="21">
      <c r="A209" s="337" t="s">
        <v>432</v>
      </c>
      <c r="B209" s="338"/>
      <c r="C209" s="338"/>
      <c r="D209" s="338"/>
      <c r="E209" s="338"/>
      <c r="F209" s="338"/>
      <c r="G209" s="338"/>
      <c r="H209" s="338"/>
      <c r="I209" s="338"/>
      <c r="J209" s="338"/>
      <c r="K209" s="338"/>
      <c r="L209" s="338"/>
      <c r="M209" s="338"/>
      <c r="N209" s="338"/>
      <c r="O209" s="338"/>
      <c r="P209" s="338"/>
      <c r="Q209" s="338"/>
      <c r="R209" s="338"/>
      <c r="S209" s="338"/>
      <c r="T209" s="338"/>
      <c r="U209" s="338"/>
      <c r="V209" s="338"/>
      <c r="W209" s="338"/>
      <c r="X209" s="338"/>
      <c r="Y209" s="338"/>
      <c r="Z209" s="338"/>
      <c r="AA209" s="338"/>
      <c r="AB209" s="338"/>
      <c r="AC209" s="338"/>
      <c r="AD209" s="338"/>
      <c r="AE209" s="338"/>
      <c r="AF209" s="338"/>
      <c r="AG209" s="338"/>
      <c r="AH209" s="338"/>
      <c r="AI209" s="338"/>
      <c r="AJ209" s="338"/>
      <c r="AK209" s="338"/>
      <c r="AL209" s="339"/>
    </row>
    <row r="210" spans="1:38" ht="21">
      <c r="A210" s="340" t="s">
        <v>330</v>
      </c>
      <c r="B210" s="340" t="s">
        <v>331</v>
      </c>
      <c r="C210" s="343" t="s">
        <v>332</v>
      </c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5"/>
      <c r="U210" s="343" t="s">
        <v>333</v>
      </c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344"/>
      <c r="AK210" s="344"/>
      <c r="AL210" s="345"/>
    </row>
    <row r="211" spans="1:38" ht="21">
      <c r="A211" s="341"/>
      <c r="B211" s="341"/>
      <c r="C211" s="343" t="s">
        <v>195</v>
      </c>
      <c r="D211" s="344"/>
      <c r="E211" s="344"/>
      <c r="F211" s="344"/>
      <c r="G211" s="344"/>
      <c r="H211" s="345"/>
      <c r="I211" s="343" t="s">
        <v>334</v>
      </c>
      <c r="J211" s="344"/>
      <c r="K211" s="344"/>
      <c r="L211" s="344"/>
      <c r="M211" s="344"/>
      <c r="N211" s="345"/>
      <c r="O211" s="343" t="s">
        <v>335</v>
      </c>
      <c r="P211" s="344"/>
      <c r="Q211" s="344"/>
      <c r="R211" s="344"/>
      <c r="S211" s="344"/>
      <c r="T211" s="345"/>
      <c r="U211" s="343" t="s">
        <v>195</v>
      </c>
      <c r="V211" s="344"/>
      <c r="W211" s="344"/>
      <c r="X211" s="344"/>
      <c r="Y211" s="344"/>
      <c r="Z211" s="345"/>
      <c r="AA211" s="343" t="s">
        <v>334</v>
      </c>
      <c r="AB211" s="344"/>
      <c r="AC211" s="344"/>
      <c r="AD211" s="344"/>
      <c r="AE211" s="344"/>
      <c r="AF211" s="345"/>
      <c r="AG211" s="343" t="s">
        <v>335</v>
      </c>
      <c r="AH211" s="344"/>
      <c r="AI211" s="344"/>
      <c r="AJ211" s="344"/>
      <c r="AK211" s="344"/>
      <c r="AL211" s="345"/>
    </row>
    <row r="212" spans="1:38" ht="21">
      <c r="A212" s="341"/>
      <c r="B212" s="341"/>
      <c r="C212" s="343" t="s">
        <v>336</v>
      </c>
      <c r="D212" s="345"/>
      <c r="E212" s="343" t="s">
        <v>337</v>
      </c>
      <c r="F212" s="345"/>
      <c r="G212" s="343" t="s">
        <v>14</v>
      </c>
      <c r="H212" s="345"/>
      <c r="I212" s="343" t="s">
        <v>336</v>
      </c>
      <c r="J212" s="345"/>
      <c r="K212" s="343" t="s">
        <v>337</v>
      </c>
      <c r="L212" s="345"/>
      <c r="M212" s="343" t="s">
        <v>14</v>
      </c>
      <c r="N212" s="345"/>
      <c r="O212" s="343" t="s">
        <v>336</v>
      </c>
      <c r="P212" s="345"/>
      <c r="Q212" s="343" t="s">
        <v>337</v>
      </c>
      <c r="R212" s="345"/>
      <c r="S212" s="343" t="s">
        <v>14</v>
      </c>
      <c r="T212" s="345"/>
      <c r="U212" s="343" t="s">
        <v>336</v>
      </c>
      <c r="V212" s="345"/>
      <c r="W212" s="343" t="s">
        <v>337</v>
      </c>
      <c r="X212" s="345"/>
      <c r="Y212" s="343" t="s">
        <v>14</v>
      </c>
      <c r="Z212" s="345"/>
      <c r="AA212" s="343" t="s">
        <v>336</v>
      </c>
      <c r="AB212" s="345"/>
      <c r="AC212" s="343" t="s">
        <v>337</v>
      </c>
      <c r="AD212" s="345"/>
      <c r="AE212" s="343" t="s">
        <v>14</v>
      </c>
      <c r="AF212" s="345"/>
      <c r="AG212" s="343" t="s">
        <v>336</v>
      </c>
      <c r="AH212" s="345"/>
      <c r="AI212" s="343" t="s">
        <v>337</v>
      </c>
      <c r="AJ212" s="345"/>
      <c r="AK212" s="343" t="s">
        <v>14</v>
      </c>
      <c r="AL212" s="345"/>
    </row>
    <row r="213" spans="1:38" ht="63">
      <c r="A213" s="342"/>
      <c r="B213" s="342"/>
      <c r="C213" s="167" t="s">
        <v>338</v>
      </c>
      <c r="D213" s="167" t="s">
        <v>339</v>
      </c>
      <c r="E213" s="167" t="s">
        <v>338</v>
      </c>
      <c r="F213" s="167" t="s">
        <v>339</v>
      </c>
      <c r="G213" s="167" t="s">
        <v>338</v>
      </c>
      <c r="H213" s="167" t="s">
        <v>339</v>
      </c>
      <c r="I213" s="167" t="s">
        <v>338</v>
      </c>
      <c r="J213" s="167" t="s">
        <v>339</v>
      </c>
      <c r="K213" s="167" t="s">
        <v>338</v>
      </c>
      <c r="L213" s="167" t="s">
        <v>339</v>
      </c>
      <c r="M213" s="167" t="s">
        <v>338</v>
      </c>
      <c r="N213" s="167" t="s">
        <v>339</v>
      </c>
      <c r="O213" s="167" t="s">
        <v>338</v>
      </c>
      <c r="P213" s="167" t="s">
        <v>339</v>
      </c>
      <c r="Q213" s="167" t="s">
        <v>338</v>
      </c>
      <c r="R213" s="167" t="s">
        <v>339</v>
      </c>
      <c r="S213" s="167" t="s">
        <v>338</v>
      </c>
      <c r="T213" s="167" t="s">
        <v>339</v>
      </c>
      <c r="U213" s="168" t="s">
        <v>338</v>
      </c>
      <c r="V213" s="168" t="s">
        <v>339</v>
      </c>
      <c r="W213" s="168" t="s">
        <v>338</v>
      </c>
      <c r="X213" s="168" t="s">
        <v>339</v>
      </c>
      <c r="Y213" s="168" t="s">
        <v>338</v>
      </c>
      <c r="Z213" s="168" t="s">
        <v>339</v>
      </c>
      <c r="AA213" s="168" t="s">
        <v>338</v>
      </c>
      <c r="AB213" s="168" t="s">
        <v>339</v>
      </c>
      <c r="AC213" s="168" t="s">
        <v>338</v>
      </c>
      <c r="AD213" s="168" t="s">
        <v>339</v>
      </c>
      <c r="AE213" s="168" t="s">
        <v>338</v>
      </c>
      <c r="AF213" s="168" t="s">
        <v>339</v>
      </c>
      <c r="AG213" s="168" t="s">
        <v>338</v>
      </c>
      <c r="AH213" s="168" t="s">
        <v>339</v>
      </c>
      <c r="AI213" s="168" t="s">
        <v>338</v>
      </c>
      <c r="AJ213" s="168" t="s">
        <v>339</v>
      </c>
      <c r="AK213" s="168" t="s">
        <v>338</v>
      </c>
      <c r="AL213" s="168" t="s">
        <v>339</v>
      </c>
    </row>
    <row r="214" spans="1:38" ht="21">
      <c r="A214" s="165">
        <v>1</v>
      </c>
      <c r="B214" s="166" t="s">
        <v>399</v>
      </c>
      <c r="C214" s="167"/>
      <c r="D214" s="167"/>
      <c r="E214" s="167"/>
      <c r="F214" s="167"/>
      <c r="G214" s="167">
        <v>0</v>
      </c>
      <c r="H214" s="167">
        <v>0</v>
      </c>
      <c r="I214" s="167">
        <v>194</v>
      </c>
      <c r="J214" s="167">
        <v>166.31</v>
      </c>
      <c r="K214" s="167"/>
      <c r="L214" s="167"/>
      <c r="M214" s="167">
        <v>194</v>
      </c>
      <c r="N214" s="167">
        <v>166.31</v>
      </c>
      <c r="O214" s="167"/>
      <c r="P214" s="167"/>
      <c r="Q214" s="167"/>
      <c r="R214" s="167"/>
      <c r="S214" s="167">
        <v>0</v>
      </c>
      <c r="T214" s="167">
        <v>0</v>
      </c>
      <c r="U214" s="168"/>
      <c r="V214" s="168"/>
      <c r="W214" s="168"/>
      <c r="X214" s="168"/>
      <c r="Y214" s="168">
        <v>0</v>
      </c>
      <c r="Z214" s="168">
        <v>0</v>
      </c>
      <c r="AA214" s="168">
        <v>266</v>
      </c>
      <c r="AB214" s="168">
        <v>183.44</v>
      </c>
      <c r="AC214" s="168"/>
      <c r="AD214" s="168"/>
      <c r="AE214" s="168">
        <v>266</v>
      </c>
      <c r="AF214" s="168">
        <v>183.44</v>
      </c>
      <c r="AG214" s="168"/>
      <c r="AH214" s="168"/>
      <c r="AI214" s="168"/>
      <c r="AJ214" s="168"/>
      <c r="AK214" s="168">
        <v>0</v>
      </c>
      <c r="AL214" s="168">
        <v>0</v>
      </c>
    </row>
    <row r="215" spans="1:38" ht="21">
      <c r="A215" s="165">
        <v>2</v>
      </c>
      <c r="B215" s="166" t="s">
        <v>433</v>
      </c>
      <c r="C215" s="167"/>
      <c r="D215" s="167"/>
      <c r="E215" s="167"/>
      <c r="F215" s="167"/>
      <c r="G215" s="167">
        <v>0</v>
      </c>
      <c r="H215" s="167">
        <v>0</v>
      </c>
      <c r="I215" s="167">
        <v>496</v>
      </c>
      <c r="J215" s="167">
        <v>468.03</v>
      </c>
      <c r="K215" s="167"/>
      <c r="L215" s="167"/>
      <c r="M215" s="167">
        <v>496</v>
      </c>
      <c r="N215" s="167">
        <v>468.03</v>
      </c>
      <c r="O215" s="167"/>
      <c r="P215" s="167"/>
      <c r="Q215" s="167"/>
      <c r="R215" s="167"/>
      <c r="S215" s="167">
        <v>0</v>
      </c>
      <c r="T215" s="167">
        <v>0</v>
      </c>
      <c r="U215" s="168"/>
      <c r="V215" s="168"/>
      <c r="W215" s="168"/>
      <c r="X215" s="168"/>
      <c r="Y215" s="168">
        <v>0</v>
      </c>
      <c r="Z215" s="168">
        <v>0</v>
      </c>
      <c r="AA215" s="168">
        <v>614</v>
      </c>
      <c r="AB215" s="168">
        <v>447.19</v>
      </c>
      <c r="AC215" s="168"/>
      <c r="AD215" s="168"/>
      <c r="AE215" s="168">
        <v>614</v>
      </c>
      <c r="AF215" s="168">
        <v>447.19</v>
      </c>
      <c r="AG215" s="168"/>
      <c r="AH215" s="168"/>
      <c r="AI215" s="168"/>
      <c r="AJ215" s="168"/>
      <c r="AK215" s="168">
        <v>0</v>
      </c>
      <c r="AL215" s="168">
        <v>0</v>
      </c>
    </row>
    <row r="216" spans="1:38" ht="21">
      <c r="A216" s="165">
        <v>3</v>
      </c>
      <c r="B216" s="166" t="s">
        <v>434</v>
      </c>
      <c r="C216" s="167"/>
      <c r="D216" s="167"/>
      <c r="E216" s="167"/>
      <c r="F216" s="167"/>
      <c r="G216" s="167">
        <v>0</v>
      </c>
      <c r="H216" s="167">
        <v>0</v>
      </c>
      <c r="I216" s="167">
        <v>138</v>
      </c>
      <c r="J216" s="167">
        <v>124.28</v>
      </c>
      <c r="K216" s="167"/>
      <c r="L216" s="167"/>
      <c r="M216" s="167">
        <v>138</v>
      </c>
      <c r="N216" s="167">
        <v>124.28</v>
      </c>
      <c r="O216" s="167"/>
      <c r="P216" s="167"/>
      <c r="Q216" s="167"/>
      <c r="R216" s="167"/>
      <c r="S216" s="167">
        <v>0</v>
      </c>
      <c r="T216" s="167">
        <v>0</v>
      </c>
      <c r="U216" s="168"/>
      <c r="V216" s="168"/>
      <c r="W216" s="168"/>
      <c r="X216" s="168"/>
      <c r="Y216" s="168">
        <v>0</v>
      </c>
      <c r="Z216" s="168">
        <v>0</v>
      </c>
      <c r="AA216" s="168">
        <v>170</v>
      </c>
      <c r="AB216" s="168">
        <v>129.72</v>
      </c>
      <c r="AC216" s="168"/>
      <c r="AD216" s="168"/>
      <c r="AE216" s="168">
        <v>170</v>
      </c>
      <c r="AF216" s="168">
        <v>129.72</v>
      </c>
      <c r="AG216" s="168"/>
      <c r="AH216" s="168"/>
      <c r="AI216" s="168"/>
      <c r="AJ216" s="168"/>
      <c r="AK216" s="168">
        <v>0</v>
      </c>
      <c r="AL216" s="168">
        <v>0</v>
      </c>
    </row>
    <row r="217" spans="1:38" ht="21">
      <c r="A217" s="165">
        <v>4</v>
      </c>
      <c r="B217" s="166" t="s">
        <v>435</v>
      </c>
      <c r="C217" s="167"/>
      <c r="D217" s="167"/>
      <c r="E217" s="167"/>
      <c r="F217" s="167"/>
      <c r="G217" s="167">
        <v>0</v>
      </c>
      <c r="H217" s="167">
        <v>0</v>
      </c>
      <c r="I217" s="167">
        <v>98</v>
      </c>
      <c r="J217" s="167">
        <v>97.5</v>
      </c>
      <c r="K217" s="167"/>
      <c r="L217" s="167"/>
      <c r="M217" s="167">
        <v>98</v>
      </c>
      <c r="N217" s="167">
        <v>97.5</v>
      </c>
      <c r="O217" s="167"/>
      <c r="P217" s="167"/>
      <c r="Q217" s="167"/>
      <c r="R217" s="167"/>
      <c r="S217" s="167">
        <v>0</v>
      </c>
      <c r="T217" s="167">
        <v>0</v>
      </c>
      <c r="U217" s="168"/>
      <c r="V217" s="168"/>
      <c r="W217" s="168"/>
      <c r="X217" s="168"/>
      <c r="Y217" s="168">
        <v>0</v>
      </c>
      <c r="Z217" s="168">
        <v>0</v>
      </c>
      <c r="AA217" s="168">
        <v>99</v>
      </c>
      <c r="AB217" s="168">
        <v>83.17</v>
      </c>
      <c r="AC217" s="168"/>
      <c r="AD217" s="168"/>
      <c r="AE217" s="168">
        <v>99</v>
      </c>
      <c r="AF217" s="168">
        <v>83.17</v>
      </c>
      <c r="AG217" s="168"/>
      <c r="AH217" s="168"/>
      <c r="AI217" s="168"/>
      <c r="AJ217" s="168"/>
      <c r="AK217" s="168">
        <v>0</v>
      </c>
      <c r="AL217" s="168">
        <v>0</v>
      </c>
    </row>
    <row r="218" spans="1:38" ht="21">
      <c r="A218" s="165">
        <v>5</v>
      </c>
      <c r="B218" s="166" t="s">
        <v>436</v>
      </c>
      <c r="C218" s="167"/>
      <c r="D218" s="167"/>
      <c r="E218" s="167"/>
      <c r="F218" s="167"/>
      <c r="G218" s="167">
        <v>0</v>
      </c>
      <c r="H218" s="167">
        <v>0</v>
      </c>
      <c r="I218" s="167">
        <v>216</v>
      </c>
      <c r="J218" s="167">
        <v>231.72</v>
      </c>
      <c r="K218" s="167">
        <v>69</v>
      </c>
      <c r="L218" s="167">
        <v>64.56</v>
      </c>
      <c r="M218" s="167">
        <v>285</v>
      </c>
      <c r="N218" s="167">
        <v>296.28</v>
      </c>
      <c r="O218" s="167"/>
      <c r="P218" s="167"/>
      <c r="Q218" s="167"/>
      <c r="R218" s="167"/>
      <c r="S218" s="167">
        <v>0</v>
      </c>
      <c r="T218" s="167">
        <v>0</v>
      </c>
      <c r="U218" s="168"/>
      <c r="V218" s="168"/>
      <c r="W218" s="168"/>
      <c r="X218" s="168"/>
      <c r="Y218" s="168">
        <v>0</v>
      </c>
      <c r="Z218" s="168">
        <v>0</v>
      </c>
      <c r="AA218" s="168">
        <v>227</v>
      </c>
      <c r="AB218" s="168">
        <v>173.31</v>
      </c>
      <c r="AC218" s="168">
        <v>69</v>
      </c>
      <c r="AD218" s="168">
        <v>60.08</v>
      </c>
      <c r="AE218" s="168">
        <v>296</v>
      </c>
      <c r="AF218" s="168">
        <v>233.39</v>
      </c>
      <c r="AG218" s="168"/>
      <c r="AH218" s="168"/>
      <c r="AI218" s="168"/>
      <c r="AJ218" s="168"/>
      <c r="AK218" s="168">
        <v>0</v>
      </c>
      <c r="AL218" s="168">
        <v>0</v>
      </c>
    </row>
    <row r="219" spans="1:38" ht="21">
      <c r="A219" s="165">
        <v>6</v>
      </c>
      <c r="B219" s="166" t="s">
        <v>437</v>
      </c>
      <c r="C219" s="167"/>
      <c r="D219" s="167"/>
      <c r="E219" s="167"/>
      <c r="F219" s="167"/>
      <c r="G219" s="167">
        <v>0</v>
      </c>
      <c r="H219" s="167">
        <v>0</v>
      </c>
      <c r="I219" s="167">
        <v>220</v>
      </c>
      <c r="J219" s="167">
        <v>184.19</v>
      </c>
      <c r="K219" s="167">
        <v>4</v>
      </c>
      <c r="L219" s="167">
        <v>0.83</v>
      </c>
      <c r="M219" s="167">
        <v>224</v>
      </c>
      <c r="N219" s="167">
        <v>185.02</v>
      </c>
      <c r="O219" s="167"/>
      <c r="P219" s="167"/>
      <c r="Q219" s="167"/>
      <c r="R219" s="167"/>
      <c r="S219" s="167">
        <v>0</v>
      </c>
      <c r="T219" s="167">
        <v>0</v>
      </c>
      <c r="U219" s="168"/>
      <c r="V219" s="168"/>
      <c r="W219" s="168"/>
      <c r="X219" s="168"/>
      <c r="Y219" s="168">
        <v>0</v>
      </c>
      <c r="Z219" s="168">
        <v>0</v>
      </c>
      <c r="AA219" s="168">
        <v>299</v>
      </c>
      <c r="AB219" s="168">
        <v>243.56</v>
      </c>
      <c r="AC219" s="168">
        <v>26</v>
      </c>
      <c r="AD219" s="168">
        <v>23.72</v>
      </c>
      <c r="AE219" s="168">
        <v>325</v>
      </c>
      <c r="AF219" s="168">
        <v>267.28</v>
      </c>
      <c r="AG219" s="168"/>
      <c r="AH219" s="168"/>
      <c r="AI219" s="168"/>
      <c r="AJ219" s="168"/>
      <c r="AK219" s="168">
        <v>0</v>
      </c>
      <c r="AL219" s="168">
        <v>0</v>
      </c>
    </row>
    <row r="220" spans="1:38" ht="21">
      <c r="A220" s="165">
        <v>7</v>
      </c>
      <c r="B220" s="166" t="s">
        <v>438</v>
      </c>
      <c r="C220" s="167"/>
      <c r="D220" s="167"/>
      <c r="E220" s="167"/>
      <c r="F220" s="167"/>
      <c r="G220" s="167">
        <v>0</v>
      </c>
      <c r="H220" s="167">
        <v>0</v>
      </c>
      <c r="I220" s="167">
        <v>374</v>
      </c>
      <c r="J220" s="167">
        <v>322.78</v>
      </c>
      <c r="K220" s="167"/>
      <c r="L220" s="167"/>
      <c r="M220" s="167">
        <v>374</v>
      </c>
      <c r="N220" s="167">
        <v>322.78</v>
      </c>
      <c r="O220" s="167"/>
      <c r="P220" s="167"/>
      <c r="Q220" s="167"/>
      <c r="R220" s="167"/>
      <c r="S220" s="167">
        <v>0</v>
      </c>
      <c r="T220" s="167">
        <v>0</v>
      </c>
      <c r="U220" s="168"/>
      <c r="V220" s="168"/>
      <c r="W220" s="168"/>
      <c r="X220" s="168"/>
      <c r="Y220" s="168">
        <v>0</v>
      </c>
      <c r="Z220" s="168">
        <v>0</v>
      </c>
      <c r="AA220" s="168">
        <v>457</v>
      </c>
      <c r="AB220" s="168">
        <v>323.75</v>
      </c>
      <c r="AC220" s="168"/>
      <c r="AD220" s="168"/>
      <c r="AE220" s="168">
        <v>457</v>
      </c>
      <c r="AF220" s="168">
        <v>323.75</v>
      </c>
      <c r="AG220" s="168"/>
      <c r="AH220" s="168"/>
      <c r="AI220" s="168"/>
      <c r="AJ220" s="168"/>
      <c r="AK220" s="168">
        <v>0</v>
      </c>
      <c r="AL220" s="168">
        <v>0</v>
      </c>
    </row>
    <row r="221" spans="1:38" ht="21">
      <c r="A221" s="165">
        <v>8</v>
      </c>
      <c r="B221" s="166" t="s">
        <v>439</v>
      </c>
      <c r="C221" s="167"/>
      <c r="D221" s="167"/>
      <c r="E221" s="167"/>
      <c r="F221" s="167"/>
      <c r="G221" s="167">
        <v>0</v>
      </c>
      <c r="H221" s="167">
        <v>0</v>
      </c>
      <c r="I221" s="167"/>
      <c r="J221" s="167"/>
      <c r="K221" s="167"/>
      <c r="L221" s="167"/>
      <c r="M221" s="167">
        <v>0</v>
      </c>
      <c r="N221" s="167">
        <v>0</v>
      </c>
      <c r="O221" s="167"/>
      <c r="P221" s="167"/>
      <c r="Q221" s="167"/>
      <c r="R221" s="167"/>
      <c r="S221" s="167">
        <v>0</v>
      </c>
      <c r="T221" s="167">
        <v>0</v>
      </c>
      <c r="U221" s="168"/>
      <c r="V221" s="168"/>
      <c r="W221" s="168"/>
      <c r="X221" s="168"/>
      <c r="Y221" s="168">
        <v>0</v>
      </c>
      <c r="Z221" s="168">
        <v>0</v>
      </c>
      <c r="AA221" s="168"/>
      <c r="AB221" s="168"/>
      <c r="AC221" s="168"/>
      <c r="AD221" s="168"/>
      <c r="AE221" s="168">
        <v>0</v>
      </c>
      <c r="AF221" s="168">
        <v>0</v>
      </c>
      <c r="AG221" s="168"/>
      <c r="AH221" s="168"/>
      <c r="AI221" s="168"/>
      <c r="AJ221" s="168"/>
      <c r="AK221" s="168">
        <v>0</v>
      </c>
      <c r="AL221" s="168">
        <v>0</v>
      </c>
    </row>
    <row r="222" spans="1:38" ht="21">
      <c r="A222" s="346" t="s">
        <v>14</v>
      </c>
      <c r="B222" s="347"/>
      <c r="C222" s="167">
        <f>SUM(C214:C221)</f>
        <v>0</v>
      </c>
      <c r="D222" s="167">
        <f aca="true" t="shared" si="34" ref="D222:T222">SUM(D214:D221)</f>
        <v>0</v>
      </c>
      <c r="E222" s="167">
        <f t="shared" si="34"/>
        <v>0</v>
      </c>
      <c r="F222" s="167">
        <f t="shared" si="34"/>
        <v>0</v>
      </c>
      <c r="G222" s="167">
        <f t="shared" si="34"/>
        <v>0</v>
      </c>
      <c r="H222" s="167">
        <f t="shared" si="34"/>
        <v>0</v>
      </c>
      <c r="I222" s="167">
        <f t="shared" si="34"/>
        <v>1736</v>
      </c>
      <c r="J222" s="167">
        <f t="shared" si="34"/>
        <v>1594.81</v>
      </c>
      <c r="K222" s="167">
        <f t="shared" si="34"/>
        <v>73</v>
      </c>
      <c r="L222" s="167">
        <f t="shared" si="34"/>
        <v>65.39</v>
      </c>
      <c r="M222" s="167">
        <f t="shared" si="34"/>
        <v>1809</v>
      </c>
      <c r="N222" s="167">
        <f t="shared" si="34"/>
        <v>1660.1999999999998</v>
      </c>
      <c r="O222" s="167">
        <f t="shared" si="34"/>
        <v>0</v>
      </c>
      <c r="P222" s="167">
        <f t="shared" si="34"/>
        <v>0</v>
      </c>
      <c r="Q222" s="167">
        <f t="shared" si="34"/>
        <v>0</v>
      </c>
      <c r="R222" s="167">
        <f t="shared" si="34"/>
        <v>0</v>
      </c>
      <c r="S222" s="167">
        <f t="shared" si="34"/>
        <v>0</v>
      </c>
      <c r="T222" s="167">
        <f t="shared" si="34"/>
        <v>0</v>
      </c>
      <c r="U222" s="168">
        <f>+U214+U215+U216+U217+U218+U219+U220+U221</f>
        <v>0</v>
      </c>
      <c r="V222" s="168">
        <f aca="true" t="shared" si="35" ref="V222:AL222">+V214+V215+V216+V217+V218+V219+V220+V221</f>
        <v>0</v>
      </c>
      <c r="W222" s="168">
        <f t="shared" si="35"/>
        <v>0</v>
      </c>
      <c r="X222" s="168">
        <f t="shared" si="35"/>
        <v>0</v>
      </c>
      <c r="Y222" s="168">
        <f t="shared" si="35"/>
        <v>0</v>
      </c>
      <c r="Z222" s="168">
        <f t="shared" si="35"/>
        <v>0</v>
      </c>
      <c r="AA222" s="168">
        <f t="shared" si="35"/>
        <v>2132</v>
      </c>
      <c r="AB222" s="168">
        <f t="shared" si="35"/>
        <v>1584.1399999999999</v>
      </c>
      <c r="AC222" s="168">
        <f t="shared" si="35"/>
        <v>95</v>
      </c>
      <c r="AD222" s="168">
        <f t="shared" si="35"/>
        <v>83.8</v>
      </c>
      <c r="AE222" s="168">
        <f t="shared" si="35"/>
        <v>2227</v>
      </c>
      <c r="AF222" s="168">
        <f t="shared" si="35"/>
        <v>1667.9399999999998</v>
      </c>
      <c r="AG222" s="168">
        <f t="shared" si="35"/>
        <v>0</v>
      </c>
      <c r="AH222" s="168">
        <f t="shared" si="35"/>
        <v>0</v>
      </c>
      <c r="AI222" s="168">
        <f t="shared" si="35"/>
        <v>0</v>
      </c>
      <c r="AJ222" s="168">
        <f t="shared" si="35"/>
        <v>0</v>
      </c>
      <c r="AK222" s="168">
        <f t="shared" si="35"/>
        <v>0</v>
      </c>
      <c r="AL222" s="168">
        <f t="shared" si="35"/>
        <v>0</v>
      </c>
    </row>
    <row r="223" spans="1:38" ht="21">
      <c r="A223" s="337" t="s">
        <v>328</v>
      </c>
      <c r="B223" s="338"/>
      <c r="C223" s="338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8"/>
      <c r="P223" s="338"/>
      <c r="Q223" s="338"/>
      <c r="R223" s="338"/>
      <c r="S223" s="338"/>
      <c r="T223" s="338"/>
      <c r="U223" s="338"/>
      <c r="V223" s="338"/>
      <c r="W223" s="338"/>
      <c r="X223" s="338"/>
      <c r="Y223" s="338"/>
      <c r="Z223" s="338"/>
      <c r="AA223" s="338"/>
      <c r="AB223" s="338"/>
      <c r="AC223" s="338"/>
      <c r="AD223" s="338"/>
      <c r="AE223" s="338"/>
      <c r="AF223" s="338"/>
      <c r="AG223" s="338"/>
      <c r="AH223" s="338"/>
      <c r="AI223" s="338"/>
      <c r="AJ223" s="338"/>
      <c r="AK223" s="338"/>
      <c r="AL223" s="339"/>
    </row>
    <row r="224" spans="1:38" ht="21">
      <c r="A224" s="337" t="s">
        <v>440</v>
      </c>
      <c r="B224" s="338"/>
      <c r="C224" s="338"/>
      <c r="D224" s="338"/>
      <c r="E224" s="338"/>
      <c r="F224" s="338"/>
      <c r="G224" s="338"/>
      <c r="H224" s="338"/>
      <c r="I224" s="338"/>
      <c r="J224" s="338"/>
      <c r="K224" s="338"/>
      <c r="L224" s="338"/>
      <c r="M224" s="338"/>
      <c r="N224" s="338"/>
      <c r="O224" s="338"/>
      <c r="P224" s="338"/>
      <c r="Q224" s="338"/>
      <c r="R224" s="338"/>
      <c r="S224" s="338"/>
      <c r="T224" s="338"/>
      <c r="U224" s="338"/>
      <c r="V224" s="338"/>
      <c r="W224" s="338"/>
      <c r="X224" s="338"/>
      <c r="Y224" s="338"/>
      <c r="Z224" s="338"/>
      <c r="AA224" s="338"/>
      <c r="AB224" s="338"/>
      <c r="AC224" s="338"/>
      <c r="AD224" s="338"/>
      <c r="AE224" s="338"/>
      <c r="AF224" s="338"/>
      <c r="AG224" s="338"/>
      <c r="AH224" s="338"/>
      <c r="AI224" s="338"/>
      <c r="AJ224" s="338"/>
      <c r="AK224" s="338"/>
      <c r="AL224" s="339"/>
    </row>
    <row r="225" spans="1:38" ht="21">
      <c r="A225" s="340" t="s">
        <v>330</v>
      </c>
      <c r="B225" s="340" t="s">
        <v>331</v>
      </c>
      <c r="C225" s="343" t="s">
        <v>332</v>
      </c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5"/>
      <c r="U225" s="343" t="s">
        <v>333</v>
      </c>
      <c r="V225" s="344"/>
      <c r="W225" s="344"/>
      <c r="X225" s="344"/>
      <c r="Y225" s="344"/>
      <c r="Z225" s="344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5"/>
    </row>
    <row r="226" spans="1:38" ht="21">
      <c r="A226" s="341"/>
      <c r="B226" s="341"/>
      <c r="C226" s="343" t="s">
        <v>195</v>
      </c>
      <c r="D226" s="344"/>
      <c r="E226" s="344"/>
      <c r="F226" s="344"/>
      <c r="G226" s="344"/>
      <c r="H226" s="345"/>
      <c r="I226" s="343" t="s">
        <v>334</v>
      </c>
      <c r="J226" s="344"/>
      <c r="K226" s="344"/>
      <c r="L226" s="344"/>
      <c r="M226" s="344"/>
      <c r="N226" s="345"/>
      <c r="O226" s="343" t="s">
        <v>335</v>
      </c>
      <c r="P226" s="344"/>
      <c r="Q226" s="344"/>
      <c r="R226" s="344"/>
      <c r="S226" s="344"/>
      <c r="T226" s="345"/>
      <c r="U226" s="343" t="s">
        <v>195</v>
      </c>
      <c r="V226" s="344"/>
      <c r="W226" s="344"/>
      <c r="X226" s="344"/>
      <c r="Y226" s="344"/>
      <c r="Z226" s="345"/>
      <c r="AA226" s="343" t="s">
        <v>334</v>
      </c>
      <c r="AB226" s="344"/>
      <c r="AC226" s="344"/>
      <c r="AD226" s="344"/>
      <c r="AE226" s="344"/>
      <c r="AF226" s="345"/>
      <c r="AG226" s="343" t="s">
        <v>335</v>
      </c>
      <c r="AH226" s="344"/>
      <c r="AI226" s="344"/>
      <c r="AJ226" s="344"/>
      <c r="AK226" s="344"/>
      <c r="AL226" s="345"/>
    </row>
    <row r="227" spans="1:38" ht="21">
      <c r="A227" s="341"/>
      <c r="B227" s="341"/>
      <c r="C227" s="343" t="s">
        <v>336</v>
      </c>
      <c r="D227" s="345"/>
      <c r="E227" s="343" t="s">
        <v>337</v>
      </c>
      <c r="F227" s="345"/>
      <c r="G227" s="343" t="s">
        <v>14</v>
      </c>
      <c r="H227" s="345"/>
      <c r="I227" s="343" t="s">
        <v>336</v>
      </c>
      <c r="J227" s="345"/>
      <c r="K227" s="343" t="s">
        <v>337</v>
      </c>
      <c r="L227" s="345"/>
      <c r="M227" s="343" t="s">
        <v>14</v>
      </c>
      <c r="N227" s="345"/>
      <c r="O227" s="343" t="s">
        <v>336</v>
      </c>
      <c r="P227" s="345"/>
      <c r="Q227" s="343" t="s">
        <v>337</v>
      </c>
      <c r="R227" s="345"/>
      <c r="S227" s="343" t="s">
        <v>14</v>
      </c>
      <c r="T227" s="345"/>
      <c r="U227" s="343" t="s">
        <v>336</v>
      </c>
      <c r="V227" s="345"/>
      <c r="W227" s="343" t="s">
        <v>337</v>
      </c>
      <c r="X227" s="345"/>
      <c r="Y227" s="343" t="s">
        <v>14</v>
      </c>
      <c r="Z227" s="345"/>
      <c r="AA227" s="343" t="s">
        <v>336</v>
      </c>
      <c r="AB227" s="345"/>
      <c r="AC227" s="343" t="s">
        <v>337</v>
      </c>
      <c r="AD227" s="345"/>
      <c r="AE227" s="343" t="s">
        <v>14</v>
      </c>
      <c r="AF227" s="345"/>
      <c r="AG227" s="343" t="s">
        <v>336</v>
      </c>
      <c r="AH227" s="345"/>
      <c r="AI227" s="343" t="s">
        <v>337</v>
      </c>
      <c r="AJ227" s="345"/>
      <c r="AK227" s="343" t="s">
        <v>14</v>
      </c>
      <c r="AL227" s="345"/>
    </row>
    <row r="228" spans="1:38" ht="63">
      <c r="A228" s="342"/>
      <c r="B228" s="342"/>
      <c r="C228" s="167" t="s">
        <v>338</v>
      </c>
      <c r="D228" s="167" t="s">
        <v>339</v>
      </c>
      <c r="E228" s="167" t="s">
        <v>338</v>
      </c>
      <c r="F228" s="167" t="s">
        <v>339</v>
      </c>
      <c r="G228" s="167" t="s">
        <v>338</v>
      </c>
      <c r="H228" s="167" t="s">
        <v>339</v>
      </c>
      <c r="I228" s="167" t="s">
        <v>338</v>
      </c>
      <c r="J228" s="167" t="s">
        <v>339</v>
      </c>
      <c r="K228" s="167" t="s">
        <v>338</v>
      </c>
      <c r="L228" s="167" t="s">
        <v>339</v>
      </c>
      <c r="M228" s="167" t="s">
        <v>338</v>
      </c>
      <c r="N228" s="167" t="s">
        <v>339</v>
      </c>
      <c r="O228" s="167" t="s">
        <v>338</v>
      </c>
      <c r="P228" s="167" t="s">
        <v>339</v>
      </c>
      <c r="Q228" s="167" t="s">
        <v>338</v>
      </c>
      <c r="R228" s="167" t="s">
        <v>339</v>
      </c>
      <c r="S228" s="167" t="s">
        <v>338</v>
      </c>
      <c r="T228" s="167" t="s">
        <v>339</v>
      </c>
      <c r="U228" s="168" t="s">
        <v>338</v>
      </c>
      <c r="V228" s="168" t="s">
        <v>339</v>
      </c>
      <c r="W228" s="168" t="s">
        <v>338</v>
      </c>
      <c r="X228" s="168" t="s">
        <v>339</v>
      </c>
      <c r="Y228" s="168" t="s">
        <v>338</v>
      </c>
      <c r="Z228" s="168" t="s">
        <v>339</v>
      </c>
      <c r="AA228" s="168" t="s">
        <v>338</v>
      </c>
      <c r="AB228" s="168" t="s">
        <v>339</v>
      </c>
      <c r="AC228" s="168" t="s">
        <v>338</v>
      </c>
      <c r="AD228" s="168" t="s">
        <v>339</v>
      </c>
      <c r="AE228" s="168" t="s">
        <v>338</v>
      </c>
      <c r="AF228" s="168" t="s">
        <v>339</v>
      </c>
      <c r="AG228" s="168" t="s">
        <v>338</v>
      </c>
      <c r="AH228" s="168" t="s">
        <v>339</v>
      </c>
      <c r="AI228" s="168" t="s">
        <v>338</v>
      </c>
      <c r="AJ228" s="168" t="s">
        <v>339</v>
      </c>
      <c r="AK228" s="168" t="s">
        <v>338</v>
      </c>
      <c r="AL228" s="168" t="s">
        <v>339</v>
      </c>
    </row>
    <row r="229" spans="1:38" ht="21">
      <c r="A229" s="165">
        <v>1</v>
      </c>
      <c r="B229" s="166" t="s">
        <v>441</v>
      </c>
      <c r="C229" s="167"/>
      <c r="D229" s="167"/>
      <c r="E229" s="167"/>
      <c r="F229" s="167"/>
      <c r="G229" s="167">
        <v>0</v>
      </c>
      <c r="H229" s="167">
        <v>0</v>
      </c>
      <c r="I229" s="167">
        <v>96</v>
      </c>
      <c r="J229" s="167">
        <v>81</v>
      </c>
      <c r="K229" s="167"/>
      <c r="L229" s="167"/>
      <c r="M229" s="167">
        <v>96</v>
      </c>
      <c r="N229" s="167">
        <v>81</v>
      </c>
      <c r="O229" s="167"/>
      <c r="P229" s="167"/>
      <c r="Q229" s="167"/>
      <c r="R229" s="167"/>
      <c r="S229" s="167">
        <v>0</v>
      </c>
      <c r="T229" s="167">
        <v>0</v>
      </c>
      <c r="U229" s="168"/>
      <c r="V229" s="168"/>
      <c r="W229" s="168"/>
      <c r="X229" s="168"/>
      <c r="Y229" s="168">
        <v>0</v>
      </c>
      <c r="Z229" s="168">
        <v>0</v>
      </c>
      <c r="AA229" s="168">
        <v>139</v>
      </c>
      <c r="AB229" s="168">
        <v>89.36</v>
      </c>
      <c r="AC229" s="168"/>
      <c r="AD229" s="168"/>
      <c r="AE229" s="168">
        <v>139</v>
      </c>
      <c r="AF229" s="168">
        <v>89.36</v>
      </c>
      <c r="AG229" s="168"/>
      <c r="AH229" s="168"/>
      <c r="AI229" s="168"/>
      <c r="AJ229" s="168"/>
      <c r="AK229" s="168">
        <v>0</v>
      </c>
      <c r="AL229" s="168">
        <v>0</v>
      </c>
    </row>
    <row r="230" spans="1:38" ht="21">
      <c r="A230" s="165">
        <v>2</v>
      </c>
      <c r="B230" s="166" t="s">
        <v>442</v>
      </c>
      <c r="C230" s="167"/>
      <c r="D230" s="167"/>
      <c r="E230" s="167"/>
      <c r="F230" s="167"/>
      <c r="G230" s="167">
        <v>0</v>
      </c>
      <c r="H230" s="167">
        <v>0</v>
      </c>
      <c r="I230" s="167">
        <v>83</v>
      </c>
      <c r="J230" s="167">
        <v>76.28</v>
      </c>
      <c r="K230" s="167"/>
      <c r="L230" s="167"/>
      <c r="M230" s="167">
        <v>83</v>
      </c>
      <c r="N230" s="167">
        <v>76.28</v>
      </c>
      <c r="O230" s="167"/>
      <c r="P230" s="167"/>
      <c r="Q230" s="167"/>
      <c r="R230" s="167"/>
      <c r="S230" s="167">
        <v>0</v>
      </c>
      <c r="T230" s="167">
        <v>0</v>
      </c>
      <c r="U230" s="168"/>
      <c r="V230" s="168"/>
      <c r="W230" s="168"/>
      <c r="X230" s="168"/>
      <c r="Y230" s="168">
        <v>0</v>
      </c>
      <c r="Z230" s="168">
        <v>0</v>
      </c>
      <c r="AA230" s="168">
        <v>109</v>
      </c>
      <c r="AB230" s="168">
        <v>80.58</v>
      </c>
      <c r="AC230" s="168"/>
      <c r="AD230" s="168"/>
      <c r="AE230" s="168">
        <v>109</v>
      </c>
      <c r="AF230" s="168">
        <v>80.58</v>
      </c>
      <c r="AG230" s="168"/>
      <c r="AH230" s="168"/>
      <c r="AI230" s="168"/>
      <c r="AJ230" s="168"/>
      <c r="AK230" s="168">
        <v>0</v>
      </c>
      <c r="AL230" s="168">
        <v>0</v>
      </c>
    </row>
    <row r="231" spans="1:38" ht="21">
      <c r="A231" s="165">
        <v>3</v>
      </c>
      <c r="B231" s="166" t="s">
        <v>443</v>
      </c>
      <c r="C231" s="167"/>
      <c r="D231" s="167"/>
      <c r="E231" s="167"/>
      <c r="F231" s="167"/>
      <c r="G231" s="167">
        <v>0</v>
      </c>
      <c r="H231" s="167">
        <v>0</v>
      </c>
      <c r="I231" s="167"/>
      <c r="J231" s="167"/>
      <c r="K231" s="167"/>
      <c r="L231" s="167"/>
      <c r="M231" s="167">
        <v>0</v>
      </c>
      <c r="N231" s="167">
        <v>0</v>
      </c>
      <c r="O231" s="167"/>
      <c r="P231" s="167"/>
      <c r="Q231" s="167"/>
      <c r="R231" s="167"/>
      <c r="S231" s="167">
        <v>0</v>
      </c>
      <c r="T231" s="167">
        <v>0</v>
      </c>
      <c r="U231" s="168"/>
      <c r="V231" s="168"/>
      <c r="W231" s="168"/>
      <c r="X231" s="168"/>
      <c r="Y231" s="168">
        <v>0</v>
      </c>
      <c r="Z231" s="168">
        <v>0</v>
      </c>
      <c r="AA231" s="168">
        <v>1</v>
      </c>
      <c r="AB231" s="168">
        <v>0.42</v>
      </c>
      <c r="AC231" s="168"/>
      <c r="AD231" s="168"/>
      <c r="AE231" s="168">
        <v>1</v>
      </c>
      <c r="AF231" s="168">
        <v>0.42</v>
      </c>
      <c r="AG231" s="168"/>
      <c r="AH231" s="168"/>
      <c r="AI231" s="168"/>
      <c r="AJ231" s="168"/>
      <c r="AK231" s="168">
        <v>0</v>
      </c>
      <c r="AL231" s="168">
        <v>0</v>
      </c>
    </row>
    <row r="232" spans="1:38" ht="21">
      <c r="A232" s="165">
        <v>4</v>
      </c>
      <c r="B232" s="166" t="s">
        <v>444</v>
      </c>
      <c r="C232" s="167"/>
      <c r="D232" s="167"/>
      <c r="E232" s="167"/>
      <c r="F232" s="167"/>
      <c r="G232" s="167">
        <v>0</v>
      </c>
      <c r="H232" s="167">
        <v>0</v>
      </c>
      <c r="I232" s="167">
        <v>70</v>
      </c>
      <c r="J232" s="167">
        <v>58.92</v>
      </c>
      <c r="K232" s="167"/>
      <c r="L232" s="167"/>
      <c r="M232" s="167">
        <v>70</v>
      </c>
      <c r="N232" s="167">
        <v>58.92</v>
      </c>
      <c r="O232" s="167"/>
      <c r="P232" s="167"/>
      <c r="Q232" s="167"/>
      <c r="R232" s="167"/>
      <c r="S232" s="167">
        <v>0</v>
      </c>
      <c r="T232" s="167">
        <v>0</v>
      </c>
      <c r="U232" s="168"/>
      <c r="V232" s="168"/>
      <c r="W232" s="168"/>
      <c r="X232" s="168"/>
      <c r="Y232" s="168">
        <v>0</v>
      </c>
      <c r="Z232" s="168">
        <v>0</v>
      </c>
      <c r="AA232" s="168">
        <v>96</v>
      </c>
      <c r="AB232" s="168">
        <v>62.33</v>
      </c>
      <c r="AC232" s="168"/>
      <c r="AD232" s="168"/>
      <c r="AE232" s="168">
        <v>96</v>
      </c>
      <c r="AF232" s="168">
        <v>62.33</v>
      </c>
      <c r="AG232" s="168"/>
      <c r="AH232" s="168"/>
      <c r="AI232" s="168"/>
      <c r="AJ232" s="168"/>
      <c r="AK232" s="168">
        <v>0</v>
      </c>
      <c r="AL232" s="168">
        <v>0</v>
      </c>
    </row>
    <row r="233" spans="1:38" ht="21">
      <c r="A233" s="165">
        <v>5</v>
      </c>
      <c r="B233" s="166" t="s">
        <v>445</v>
      </c>
      <c r="C233" s="167"/>
      <c r="D233" s="167"/>
      <c r="E233" s="167"/>
      <c r="F233" s="167"/>
      <c r="G233" s="167">
        <v>0</v>
      </c>
      <c r="H233" s="167">
        <v>0</v>
      </c>
      <c r="I233" s="167">
        <v>327</v>
      </c>
      <c r="J233" s="167">
        <v>314.22</v>
      </c>
      <c r="K233" s="167">
        <v>5</v>
      </c>
      <c r="L233" s="167">
        <v>1.53</v>
      </c>
      <c r="M233" s="167">
        <v>332</v>
      </c>
      <c r="N233" s="167">
        <v>315.75</v>
      </c>
      <c r="O233" s="167"/>
      <c r="P233" s="167"/>
      <c r="Q233" s="167"/>
      <c r="R233" s="167"/>
      <c r="S233" s="167">
        <v>0</v>
      </c>
      <c r="T233" s="167">
        <v>0</v>
      </c>
      <c r="U233" s="168"/>
      <c r="V233" s="168"/>
      <c r="W233" s="168"/>
      <c r="X233" s="168"/>
      <c r="Y233" s="168">
        <v>0</v>
      </c>
      <c r="Z233" s="168">
        <v>0</v>
      </c>
      <c r="AA233" s="168">
        <v>338</v>
      </c>
      <c r="AB233" s="168">
        <v>303.08</v>
      </c>
      <c r="AC233" s="168">
        <v>15</v>
      </c>
      <c r="AD233" s="168">
        <v>4.75</v>
      </c>
      <c r="AE233" s="168">
        <v>353</v>
      </c>
      <c r="AF233" s="168">
        <v>307.83</v>
      </c>
      <c r="AG233" s="168"/>
      <c r="AH233" s="168"/>
      <c r="AI233" s="168"/>
      <c r="AJ233" s="168"/>
      <c r="AK233" s="168">
        <v>0</v>
      </c>
      <c r="AL233" s="168">
        <v>0</v>
      </c>
    </row>
    <row r="234" spans="1:38" ht="21">
      <c r="A234" s="346" t="s">
        <v>14</v>
      </c>
      <c r="B234" s="347"/>
      <c r="C234" s="167">
        <f>SUM(C229:C233)</f>
        <v>0</v>
      </c>
      <c r="D234" s="167">
        <f aca="true" t="shared" si="36" ref="D234:T234">SUM(D229:D233)</f>
        <v>0</v>
      </c>
      <c r="E234" s="167">
        <f t="shared" si="36"/>
        <v>0</v>
      </c>
      <c r="F234" s="167">
        <f t="shared" si="36"/>
        <v>0</v>
      </c>
      <c r="G234" s="167">
        <f t="shared" si="36"/>
        <v>0</v>
      </c>
      <c r="H234" s="167">
        <f t="shared" si="36"/>
        <v>0</v>
      </c>
      <c r="I234" s="167">
        <f t="shared" si="36"/>
        <v>576</v>
      </c>
      <c r="J234" s="167">
        <f t="shared" si="36"/>
        <v>530.4200000000001</v>
      </c>
      <c r="K234" s="167">
        <f t="shared" si="36"/>
        <v>5</v>
      </c>
      <c r="L234" s="167">
        <f t="shared" si="36"/>
        <v>1.53</v>
      </c>
      <c r="M234" s="167">
        <f t="shared" si="36"/>
        <v>581</v>
      </c>
      <c r="N234" s="167">
        <f t="shared" si="36"/>
        <v>531.95</v>
      </c>
      <c r="O234" s="167">
        <f t="shared" si="36"/>
        <v>0</v>
      </c>
      <c r="P234" s="167">
        <f t="shared" si="36"/>
        <v>0</v>
      </c>
      <c r="Q234" s="167">
        <f t="shared" si="36"/>
        <v>0</v>
      </c>
      <c r="R234" s="167">
        <f t="shared" si="36"/>
        <v>0</v>
      </c>
      <c r="S234" s="167">
        <f t="shared" si="36"/>
        <v>0</v>
      </c>
      <c r="T234" s="167">
        <f t="shared" si="36"/>
        <v>0</v>
      </c>
      <c r="U234" s="168">
        <f>+U229+U230+U231+U232+U233</f>
        <v>0</v>
      </c>
      <c r="V234" s="168">
        <f aca="true" t="shared" si="37" ref="V234:AL234">+V229+V230+V231+V232+V233</f>
        <v>0</v>
      </c>
      <c r="W234" s="168">
        <f t="shared" si="37"/>
        <v>0</v>
      </c>
      <c r="X234" s="168">
        <f t="shared" si="37"/>
        <v>0</v>
      </c>
      <c r="Y234" s="168">
        <f t="shared" si="37"/>
        <v>0</v>
      </c>
      <c r="Z234" s="168">
        <f t="shared" si="37"/>
        <v>0</v>
      </c>
      <c r="AA234" s="168">
        <f t="shared" si="37"/>
        <v>683</v>
      </c>
      <c r="AB234" s="168">
        <f t="shared" si="37"/>
        <v>535.77</v>
      </c>
      <c r="AC234" s="168">
        <f t="shared" si="37"/>
        <v>15</v>
      </c>
      <c r="AD234" s="168">
        <f t="shared" si="37"/>
        <v>4.75</v>
      </c>
      <c r="AE234" s="168">
        <f t="shared" si="37"/>
        <v>698</v>
      </c>
      <c r="AF234" s="168">
        <f t="shared" si="37"/>
        <v>540.52</v>
      </c>
      <c r="AG234" s="168">
        <f t="shared" si="37"/>
        <v>0</v>
      </c>
      <c r="AH234" s="168">
        <f t="shared" si="37"/>
        <v>0</v>
      </c>
      <c r="AI234" s="168">
        <f t="shared" si="37"/>
        <v>0</v>
      </c>
      <c r="AJ234" s="168">
        <f t="shared" si="37"/>
        <v>0</v>
      </c>
      <c r="AK234" s="168">
        <f t="shared" si="37"/>
        <v>0</v>
      </c>
      <c r="AL234" s="168">
        <f t="shared" si="37"/>
        <v>0</v>
      </c>
    </row>
    <row r="235" spans="1:38" ht="21">
      <c r="A235" s="337" t="s">
        <v>328</v>
      </c>
      <c r="B235" s="338"/>
      <c r="C235" s="338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  <c r="AA235" s="338"/>
      <c r="AB235" s="338"/>
      <c r="AC235" s="338"/>
      <c r="AD235" s="338"/>
      <c r="AE235" s="338"/>
      <c r="AF235" s="338"/>
      <c r="AG235" s="338"/>
      <c r="AH235" s="338"/>
      <c r="AI235" s="338"/>
      <c r="AJ235" s="338"/>
      <c r="AK235" s="338"/>
      <c r="AL235" s="339"/>
    </row>
    <row r="236" spans="1:38" ht="21">
      <c r="A236" s="337" t="s">
        <v>197</v>
      </c>
      <c r="B236" s="338"/>
      <c r="C236" s="338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8"/>
      <c r="P236" s="338"/>
      <c r="Q236" s="338"/>
      <c r="R236" s="338"/>
      <c r="S236" s="338"/>
      <c r="T236" s="338"/>
      <c r="U236" s="338"/>
      <c r="V236" s="338"/>
      <c r="W236" s="338"/>
      <c r="X236" s="338"/>
      <c r="Y236" s="338"/>
      <c r="Z236" s="338"/>
      <c r="AA236" s="338"/>
      <c r="AB236" s="338"/>
      <c r="AC236" s="338"/>
      <c r="AD236" s="338"/>
      <c r="AE236" s="338"/>
      <c r="AF236" s="338"/>
      <c r="AG236" s="338"/>
      <c r="AH236" s="338"/>
      <c r="AI236" s="338"/>
      <c r="AJ236" s="338"/>
      <c r="AK236" s="338"/>
      <c r="AL236" s="339"/>
    </row>
    <row r="237" spans="1:38" ht="21">
      <c r="A237" s="340" t="s">
        <v>330</v>
      </c>
      <c r="B237" s="340" t="s">
        <v>331</v>
      </c>
      <c r="C237" s="343" t="s">
        <v>332</v>
      </c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5"/>
      <c r="U237" s="343" t="s">
        <v>333</v>
      </c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5"/>
    </row>
    <row r="238" spans="1:38" ht="21">
      <c r="A238" s="341"/>
      <c r="B238" s="341"/>
      <c r="C238" s="343" t="s">
        <v>195</v>
      </c>
      <c r="D238" s="344"/>
      <c r="E238" s="344"/>
      <c r="F238" s="344"/>
      <c r="G238" s="344"/>
      <c r="H238" s="345"/>
      <c r="I238" s="343" t="s">
        <v>334</v>
      </c>
      <c r="J238" s="344"/>
      <c r="K238" s="344"/>
      <c r="L238" s="344"/>
      <c r="M238" s="344"/>
      <c r="N238" s="345"/>
      <c r="O238" s="343" t="s">
        <v>335</v>
      </c>
      <c r="P238" s="344"/>
      <c r="Q238" s="344"/>
      <c r="R238" s="344"/>
      <c r="S238" s="344"/>
      <c r="T238" s="345"/>
      <c r="U238" s="343" t="s">
        <v>195</v>
      </c>
      <c r="V238" s="344"/>
      <c r="W238" s="344"/>
      <c r="X238" s="344"/>
      <c r="Y238" s="344"/>
      <c r="Z238" s="345"/>
      <c r="AA238" s="343" t="s">
        <v>334</v>
      </c>
      <c r="AB238" s="344"/>
      <c r="AC238" s="344"/>
      <c r="AD238" s="344"/>
      <c r="AE238" s="344"/>
      <c r="AF238" s="345"/>
      <c r="AG238" s="343" t="s">
        <v>335</v>
      </c>
      <c r="AH238" s="344"/>
      <c r="AI238" s="344"/>
      <c r="AJ238" s="344"/>
      <c r="AK238" s="344"/>
      <c r="AL238" s="345"/>
    </row>
    <row r="239" spans="1:38" ht="21">
      <c r="A239" s="341"/>
      <c r="B239" s="341"/>
      <c r="C239" s="343" t="s">
        <v>336</v>
      </c>
      <c r="D239" s="345"/>
      <c r="E239" s="343" t="s">
        <v>337</v>
      </c>
      <c r="F239" s="345"/>
      <c r="G239" s="343" t="s">
        <v>14</v>
      </c>
      <c r="H239" s="345"/>
      <c r="I239" s="343" t="s">
        <v>336</v>
      </c>
      <c r="J239" s="345"/>
      <c r="K239" s="343" t="s">
        <v>337</v>
      </c>
      <c r="L239" s="345"/>
      <c r="M239" s="343" t="s">
        <v>14</v>
      </c>
      <c r="N239" s="345"/>
      <c r="O239" s="343" t="s">
        <v>336</v>
      </c>
      <c r="P239" s="345"/>
      <c r="Q239" s="343" t="s">
        <v>337</v>
      </c>
      <c r="R239" s="345"/>
      <c r="S239" s="343" t="s">
        <v>14</v>
      </c>
      <c r="T239" s="345"/>
      <c r="U239" s="343" t="s">
        <v>336</v>
      </c>
      <c r="V239" s="345"/>
      <c r="W239" s="343" t="s">
        <v>337</v>
      </c>
      <c r="X239" s="345"/>
      <c r="Y239" s="343" t="s">
        <v>14</v>
      </c>
      <c r="Z239" s="345"/>
      <c r="AA239" s="343" t="s">
        <v>336</v>
      </c>
      <c r="AB239" s="345"/>
      <c r="AC239" s="343" t="s">
        <v>337</v>
      </c>
      <c r="AD239" s="345"/>
      <c r="AE239" s="343" t="s">
        <v>14</v>
      </c>
      <c r="AF239" s="345"/>
      <c r="AG239" s="343" t="s">
        <v>336</v>
      </c>
      <c r="AH239" s="345"/>
      <c r="AI239" s="343" t="s">
        <v>337</v>
      </c>
      <c r="AJ239" s="345"/>
      <c r="AK239" s="343" t="s">
        <v>14</v>
      </c>
      <c r="AL239" s="345"/>
    </row>
    <row r="240" spans="1:38" ht="63">
      <c r="A240" s="342"/>
      <c r="B240" s="342"/>
      <c r="C240" s="167" t="s">
        <v>338</v>
      </c>
      <c r="D240" s="167" t="s">
        <v>339</v>
      </c>
      <c r="E240" s="167" t="s">
        <v>338</v>
      </c>
      <c r="F240" s="167" t="s">
        <v>339</v>
      </c>
      <c r="G240" s="167" t="s">
        <v>338</v>
      </c>
      <c r="H240" s="167" t="s">
        <v>339</v>
      </c>
      <c r="I240" s="167" t="s">
        <v>338</v>
      </c>
      <c r="J240" s="167" t="s">
        <v>339</v>
      </c>
      <c r="K240" s="167" t="s">
        <v>338</v>
      </c>
      <c r="L240" s="167" t="s">
        <v>339</v>
      </c>
      <c r="M240" s="167" t="s">
        <v>338</v>
      </c>
      <c r="N240" s="167" t="s">
        <v>339</v>
      </c>
      <c r="O240" s="167" t="s">
        <v>338</v>
      </c>
      <c r="P240" s="167" t="s">
        <v>339</v>
      </c>
      <c r="Q240" s="167" t="s">
        <v>338</v>
      </c>
      <c r="R240" s="167" t="s">
        <v>339</v>
      </c>
      <c r="S240" s="167" t="s">
        <v>338</v>
      </c>
      <c r="T240" s="167" t="s">
        <v>339</v>
      </c>
      <c r="U240" s="168" t="s">
        <v>338</v>
      </c>
      <c r="V240" s="168" t="s">
        <v>339</v>
      </c>
      <c r="W240" s="168" t="s">
        <v>338</v>
      </c>
      <c r="X240" s="168" t="s">
        <v>339</v>
      </c>
      <c r="Y240" s="168" t="s">
        <v>338</v>
      </c>
      <c r="Z240" s="168" t="s">
        <v>339</v>
      </c>
      <c r="AA240" s="168" t="s">
        <v>338</v>
      </c>
      <c r="AB240" s="168" t="s">
        <v>339</v>
      </c>
      <c r="AC240" s="168" t="s">
        <v>338</v>
      </c>
      <c r="AD240" s="168" t="s">
        <v>339</v>
      </c>
      <c r="AE240" s="168" t="s">
        <v>338</v>
      </c>
      <c r="AF240" s="168" t="s">
        <v>339</v>
      </c>
      <c r="AG240" s="168" t="s">
        <v>338</v>
      </c>
      <c r="AH240" s="168" t="s">
        <v>339</v>
      </c>
      <c r="AI240" s="168" t="s">
        <v>338</v>
      </c>
      <c r="AJ240" s="168" t="s">
        <v>339</v>
      </c>
      <c r="AK240" s="168" t="s">
        <v>338</v>
      </c>
      <c r="AL240" s="168" t="s">
        <v>339</v>
      </c>
    </row>
    <row r="241" spans="1:38" ht="21">
      <c r="A241" s="165">
        <v>1</v>
      </c>
      <c r="B241" s="166" t="s">
        <v>446</v>
      </c>
      <c r="C241" s="167"/>
      <c r="D241" s="167"/>
      <c r="E241" s="167"/>
      <c r="F241" s="167"/>
      <c r="G241" s="167">
        <v>0</v>
      </c>
      <c r="H241" s="167">
        <v>0</v>
      </c>
      <c r="I241" s="167">
        <v>67</v>
      </c>
      <c r="J241" s="167">
        <v>66.03</v>
      </c>
      <c r="K241" s="167"/>
      <c r="L241" s="167"/>
      <c r="M241" s="167">
        <v>67</v>
      </c>
      <c r="N241" s="167">
        <v>66.03</v>
      </c>
      <c r="O241" s="167"/>
      <c r="P241" s="167"/>
      <c r="Q241" s="167"/>
      <c r="R241" s="167"/>
      <c r="S241" s="167">
        <v>0</v>
      </c>
      <c r="T241" s="167">
        <v>0</v>
      </c>
      <c r="U241" s="168"/>
      <c r="V241" s="168"/>
      <c r="W241" s="168"/>
      <c r="X241" s="168"/>
      <c r="Y241" s="168">
        <v>0</v>
      </c>
      <c r="Z241" s="168">
        <v>0</v>
      </c>
      <c r="AA241" s="168">
        <v>67</v>
      </c>
      <c r="AB241" s="168">
        <v>67.61</v>
      </c>
      <c r="AC241" s="168"/>
      <c r="AD241" s="168"/>
      <c r="AE241" s="168">
        <v>67</v>
      </c>
      <c r="AF241" s="168">
        <v>67.61</v>
      </c>
      <c r="AG241" s="168"/>
      <c r="AH241" s="168"/>
      <c r="AI241" s="168"/>
      <c r="AJ241" s="168"/>
      <c r="AK241" s="168">
        <v>0</v>
      </c>
      <c r="AL241" s="168">
        <v>0</v>
      </c>
    </row>
    <row r="242" spans="1:38" ht="21">
      <c r="A242" s="165">
        <v>2</v>
      </c>
      <c r="B242" s="166" t="s">
        <v>423</v>
      </c>
      <c r="C242" s="167"/>
      <c r="D242" s="167"/>
      <c r="E242" s="167"/>
      <c r="F242" s="167"/>
      <c r="G242" s="167">
        <v>0</v>
      </c>
      <c r="H242" s="167">
        <v>0</v>
      </c>
      <c r="I242" s="167">
        <v>44</v>
      </c>
      <c r="J242" s="167">
        <v>36.86</v>
      </c>
      <c r="K242" s="167"/>
      <c r="L242" s="167"/>
      <c r="M242" s="167">
        <v>44</v>
      </c>
      <c r="N242" s="167">
        <v>36.86</v>
      </c>
      <c r="O242" s="167"/>
      <c r="P242" s="167"/>
      <c r="Q242" s="167"/>
      <c r="R242" s="167"/>
      <c r="S242" s="167">
        <v>0</v>
      </c>
      <c r="T242" s="167">
        <v>0</v>
      </c>
      <c r="U242" s="168"/>
      <c r="V242" s="168"/>
      <c r="W242" s="168"/>
      <c r="X242" s="168"/>
      <c r="Y242" s="168">
        <v>0</v>
      </c>
      <c r="Z242" s="168">
        <v>0</v>
      </c>
      <c r="AA242" s="168">
        <v>44</v>
      </c>
      <c r="AB242" s="168">
        <v>35.94</v>
      </c>
      <c r="AC242" s="168"/>
      <c r="AD242" s="168"/>
      <c r="AE242" s="168">
        <v>44</v>
      </c>
      <c r="AF242" s="168">
        <v>35.94</v>
      </c>
      <c r="AG242" s="168"/>
      <c r="AH242" s="168"/>
      <c r="AI242" s="168"/>
      <c r="AJ242" s="168"/>
      <c r="AK242" s="168">
        <v>0</v>
      </c>
      <c r="AL242" s="168">
        <v>0</v>
      </c>
    </row>
    <row r="243" spans="1:38" ht="21">
      <c r="A243" s="165">
        <v>3</v>
      </c>
      <c r="B243" s="166" t="s">
        <v>447</v>
      </c>
      <c r="C243" s="167"/>
      <c r="D243" s="167"/>
      <c r="E243" s="167"/>
      <c r="F243" s="167"/>
      <c r="G243" s="167">
        <v>0</v>
      </c>
      <c r="H243" s="167">
        <v>0</v>
      </c>
      <c r="I243" s="167">
        <v>30</v>
      </c>
      <c r="J243" s="167">
        <v>22.78</v>
      </c>
      <c r="K243" s="167"/>
      <c r="L243" s="167"/>
      <c r="M243" s="167">
        <v>30</v>
      </c>
      <c r="N243" s="167">
        <v>22.78</v>
      </c>
      <c r="O243" s="167"/>
      <c r="P243" s="167"/>
      <c r="Q243" s="167"/>
      <c r="R243" s="167"/>
      <c r="S243" s="167">
        <v>0</v>
      </c>
      <c r="T243" s="167">
        <v>0</v>
      </c>
      <c r="U243" s="168"/>
      <c r="V243" s="168"/>
      <c r="W243" s="168"/>
      <c r="X243" s="168"/>
      <c r="Y243" s="168">
        <v>0</v>
      </c>
      <c r="Z243" s="168">
        <v>0</v>
      </c>
      <c r="AA243" s="168">
        <v>33</v>
      </c>
      <c r="AB243" s="168">
        <v>22.06</v>
      </c>
      <c r="AC243" s="168"/>
      <c r="AD243" s="168"/>
      <c r="AE243" s="168">
        <v>33</v>
      </c>
      <c r="AF243" s="168">
        <v>22.06</v>
      </c>
      <c r="AG243" s="168"/>
      <c r="AH243" s="168"/>
      <c r="AI243" s="168"/>
      <c r="AJ243" s="168"/>
      <c r="AK243" s="168">
        <v>0</v>
      </c>
      <c r="AL243" s="168">
        <v>0</v>
      </c>
    </row>
    <row r="244" spans="1:38" ht="21">
      <c r="A244" s="165">
        <v>4</v>
      </c>
      <c r="B244" s="166" t="s">
        <v>396</v>
      </c>
      <c r="C244" s="167"/>
      <c r="D244" s="167"/>
      <c r="E244" s="167"/>
      <c r="F244" s="167"/>
      <c r="G244" s="167">
        <v>0</v>
      </c>
      <c r="H244" s="167">
        <v>0</v>
      </c>
      <c r="I244" s="167"/>
      <c r="J244" s="167"/>
      <c r="K244" s="167"/>
      <c r="L244" s="167"/>
      <c r="M244" s="167">
        <v>0</v>
      </c>
      <c r="N244" s="167">
        <v>0</v>
      </c>
      <c r="O244" s="167"/>
      <c r="P244" s="167"/>
      <c r="Q244" s="167"/>
      <c r="R244" s="167"/>
      <c r="S244" s="167">
        <v>0</v>
      </c>
      <c r="T244" s="167">
        <v>0</v>
      </c>
      <c r="U244" s="168"/>
      <c r="V244" s="168"/>
      <c r="W244" s="168"/>
      <c r="X244" s="168"/>
      <c r="Y244" s="168">
        <v>0</v>
      </c>
      <c r="Z244" s="168">
        <v>0</v>
      </c>
      <c r="AA244" s="168">
        <v>2</v>
      </c>
      <c r="AB244" s="168">
        <v>0.17</v>
      </c>
      <c r="AC244" s="168"/>
      <c r="AD244" s="168"/>
      <c r="AE244" s="168">
        <v>2</v>
      </c>
      <c r="AF244" s="168">
        <v>0.17</v>
      </c>
      <c r="AG244" s="168"/>
      <c r="AH244" s="168"/>
      <c r="AI244" s="168"/>
      <c r="AJ244" s="168"/>
      <c r="AK244" s="168">
        <v>0</v>
      </c>
      <c r="AL244" s="168">
        <v>0</v>
      </c>
    </row>
    <row r="245" spans="1:38" ht="21">
      <c r="A245" s="165">
        <v>5</v>
      </c>
      <c r="B245" s="166" t="s">
        <v>359</v>
      </c>
      <c r="C245" s="167"/>
      <c r="D245" s="167"/>
      <c r="E245" s="167"/>
      <c r="F245" s="167"/>
      <c r="G245" s="167">
        <v>0</v>
      </c>
      <c r="H245" s="167">
        <v>0</v>
      </c>
      <c r="I245" s="167">
        <v>1</v>
      </c>
      <c r="J245" s="167">
        <v>0.08</v>
      </c>
      <c r="K245" s="167"/>
      <c r="L245" s="167"/>
      <c r="M245" s="167">
        <v>1</v>
      </c>
      <c r="N245" s="167">
        <v>0.08</v>
      </c>
      <c r="O245" s="167"/>
      <c r="P245" s="167"/>
      <c r="Q245" s="167"/>
      <c r="R245" s="167"/>
      <c r="S245" s="167">
        <v>0</v>
      </c>
      <c r="T245" s="167">
        <v>0</v>
      </c>
      <c r="U245" s="168"/>
      <c r="V245" s="168"/>
      <c r="W245" s="168"/>
      <c r="X245" s="168"/>
      <c r="Y245" s="168">
        <v>0</v>
      </c>
      <c r="Z245" s="168">
        <v>0</v>
      </c>
      <c r="AA245" s="168">
        <v>1</v>
      </c>
      <c r="AB245" s="168">
        <v>0.08</v>
      </c>
      <c r="AC245" s="168"/>
      <c r="AD245" s="168"/>
      <c r="AE245" s="168">
        <v>1</v>
      </c>
      <c r="AF245" s="168">
        <v>0.08</v>
      </c>
      <c r="AG245" s="168"/>
      <c r="AH245" s="168"/>
      <c r="AI245" s="168"/>
      <c r="AJ245" s="168"/>
      <c r="AK245" s="168">
        <v>0</v>
      </c>
      <c r="AL245" s="168">
        <v>0</v>
      </c>
    </row>
    <row r="246" spans="1:38" ht="21">
      <c r="A246" s="346" t="s">
        <v>14</v>
      </c>
      <c r="B246" s="347"/>
      <c r="C246" s="167">
        <f>SUM(C241:C245)</f>
        <v>0</v>
      </c>
      <c r="D246" s="167">
        <f aca="true" t="shared" si="38" ref="D246:T246">SUM(D241:D245)</f>
        <v>0</v>
      </c>
      <c r="E246" s="167">
        <f t="shared" si="38"/>
        <v>0</v>
      </c>
      <c r="F246" s="167">
        <f t="shared" si="38"/>
        <v>0</v>
      </c>
      <c r="G246" s="167">
        <f t="shared" si="38"/>
        <v>0</v>
      </c>
      <c r="H246" s="167">
        <f t="shared" si="38"/>
        <v>0</v>
      </c>
      <c r="I246" s="167">
        <f t="shared" si="38"/>
        <v>142</v>
      </c>
      <c r="J246" s="167">
        <f t="shared" si="38"/>
        <v>125.75</v>
      </c>
      <c r="K246" s="167">
        <f t="shared" si="38"/>
        <v>0</v>
      </c>
      <c r="L246" s="167">
        <f t="shared" si="38"/>
        <v>0</v>
      </c>
      <c r="M246" s="167">
        <f t="shared" si="38"/>
        <v>142</v>
      </c>
      <c r="N246" s="167">
        <f t="shared" si="38"/>
        <v>125.75</v>
      </c>
      <c r="O246" s="167">
        <f t="shared" si="38"/>
        <v>0</v>
      </c>
      <c r="P246" s="167">
        <f t="shared" si="38"/>
        <v>0</v>
      </c>
      <c r="Q246" s="167">
        <f t="shared" si="38"/>
        <v>0</v>
      </c>
      <c r="R246" s="167">
        <f t="shared" si="38"/>
        <v>0</v>
      </c>
      <c r="S246" s="167">
        <f t="shared" si="38"/>
        <v>0</v>
      </c>
      <c r="T246" s="167">
        <f t="shared" si="38"/>
        <v>0</v>
      </c>
      <c r="U246" s="168">
        <f>+U241+U242+U243+U244+U245</f>
        <v>0</v>
      </c>
      <c r="V246" s="168">
        <f aca="true" t="shared" si="39" ref="V246:AL246">+V241+V242+V243+V244+V245</f>
        <v>0</v>
      </c>
      <c r="W246" s="168">
        <f t="shared" si="39"/>
        <v>0</v>
      </c>
      <c r="X246" s="168">
        <f t="shared" si="39"/>
        <v>0</v>
      </c>
      <c r="Y246" s="168">
        <f t="shared" si="39"/>
        <v>0</v>
      </c>
      <c r="Z246" s="168">
        <f t="shared" si="39"/>
        <v>0</v>
      </c>
      <c r="AA246" s="168">
        <f t="shared" si="39"/>
        <v>147</v>
      </c>
      <c r="AB246" s="168">
        <f t="shared" si="39"/>
        <v>125.86</v>
      </c>
      <c r="AC246" s="168">
        <f t="shared" si="39"/>
        <v>0</v>
      </c>
      <c r="AD246" s="168">
        <f t="shared" si="39"/>
        <v>0</v>
      </c>
      <c r="AE246" s="168">
        <f t="shared" si="39"/>
        <v>147</v>
      </c>
      <c r="AF246" s="168">
        <f t="shared" si="39"/>
        <v>125.86</v>
      </c>
      <c r="AG246" s="168">
        <f t="shared" si="39"/>
        <v>0</v>
      </c>
      <c r="AH246" s="168">
        <f t="shared" si="39"/>
        <v>0</v>
      </c>
      <c r="AI246" s="168">
        <f t="shared" si="39"/>
        <v>0</v>
      </c>
      <c r="AJ246" s="168">
        <f t="shared" si="39"/>
        <v>0</v>
      </c>
      <c r="AK246" s="168">
        <f t="shared" si="39"/>
        <v>0</v>
      </c>
      <c r="AL246" s="168">
        <f t="shared" si="39"/>
        <v>0</v>
      </c>
    </row>
    <row r="247" spans="1:38" ht="21">
      <c r="A247" s="337" t="s">
        <v>328</v>
      </c>
      <c r="B247" s="338"/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338"/>
      <c r="U247" s="338"/>
      <c r="V247" s="338"/>
      <c r="W247" s="338"/>
      <c r="X247" s="338"/>
      <c r="Y247" s="338"/>
      <c r="Z247" s="338"/>
      <c r="AA247" s="338"/>
      <c r="AB247" s="338"/>
      <c r="AC247" s="338"/>
      <c r="AD247" s="338"/>
      <c r="AE247" s="338"/>
      <c r="AF247" s="338"/>
      <c r="AG247" s="338"/>
      <c r="AH247" s="338"/>
      <c r="AI247" s="338"/>
      <c r="AJ247" s="338"/>
      <c r="AK247" s="338"/>
      <c r="AL247" s="339"/>
    </row>
    <row r="248" spans="1:38" ht="21">
      <c r="A248" s="337" t="s">
        <v>197</v>
      </c>
      <c r="B248" s="338"/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338"/>
      <c r="U248" s="338"/>
      <c r="V248" s="338"/>
      <c r="W248" s="338"/>
      <c r="X248" s="338"/>
      <c r="Y248" s="338"/>
      <c r="Z248" s="338"/>
      <c r="AA248" s="338"/>
      <c r="AB248" s="338"/>
      <c r="AC248" s="338"/>
      <c r="AD248" s="338"/>
      <c r="AE248" s="338"/>
      <c r="AF248" s="338"/>
      <c r="AG248" s="338"/>
      <c r="AH248" s="338"/>
      <c r="AI248" s="338"/>
      <c r="AJ248" s="338"/>
      <c r="AK248" s="338"/>
      <c r="AL248" s="339"/>
    </row>
    <row r="249" spans="1:38" ht="21">
      <c r="A249" s="340" t="s">
        <v>330</v>
      </c>
      <c r="B249" s="340" t="s">
        <v>331</v>
      </c>
      <c r="C249" s="343" t="s">
        <v>332</v>
      </c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4"/>
      <c r="R249" s="344"/>
      <c r="S249" s="344"/>
      <c r="T249" s="345"/>
      <c r="U249" s="343" t="s">
        <v>333</v>
      </c>
      <c r="V249" s="344"/>
      <c r="W249" s="344"/>
      <c r="X249" s="344"/>
      <c r="Y249" s="344"/>
      <c r="Z249" s="344"/>
      <c r="AA249" s="344"/>
      <c r="AB249" s="344"/>
      <c r="AC249" s="344"/>
      <c r="AD249" s="344"/>
      <c r="AE249" s="344"/>
      <c r="AF249" s="344"/>
      <c r="AG249" s="344"/>
      <c r="AH249" s="344"/>
      <c r="AI249" s="344"/>
      <c r="AJ249" s="344"/>
      <c r="AK249" s="344"/>
      <c r="AL249" s="345"/>
    </row>
    <row r="250" spans="1:38" ht="21">
      <c r="A250" s="341"/>
      <c r="B250" s="341"/>
      <c r="C250" s="343" t="s">
        <v>195</v>
      </c>
      <c r="D250" s="344"/>
      <c r="E250" s="344"/>
      <c r="F250" s="344"/>
      <c r="G250" s="344"/>
      <c r="H250" s="345"/>
      <c r="I250" s="343" t="s">
        <v>334</v>
      </c>
      <c r="J250" s="344"/>
      <c r="K250" s="344"/>
      <c r="L250" s="344"/>
      <c r="M250" s="344"/>
      <c r="N250" s="345"/>
      <c r="O250" s="343" t="s">
        <v>335</v>
      </c>
      <c r="P250" s="344"/>
      <c r="Q250" s="344"/>
      <c r="R250" s="344"/>
      <c r="S250" s="344"/>
      <c r="T250" s="345"/>
      <c r="U250" s="343" t="s">
        <v>195</v>
      </c>
      <c r="V250" s="344"/>
      <c r="W250" s="344"/>
      <c r="X250" s="344"/>
      <c r="Y250" s="344"/>
      <c r="Z250" s="345"/>
      <c r="AA250" s="343" t="s">
        <v>334</v>
      </c>
      <c r="AB250" s="344"/>
      <c r="AC250" s="344"/>
      <c r="AD250" s="344"/>
      <c r="AE250" s="344"/>
      <c r="AF250" s="345"/>
      <c r="AG250" s="343" t="s">
        <v>335</v>
      </c>
      <c r="AH250" s="344"/>
      <c r="AI250" s="344"/>
      <c r="AJ250" s="344"/>
      <c r="AK250" s="344"/>
      <c r="AL250" s="345"/>
    </row>
    <row r="251" spans="1:38" ht="21">
      <c r="A251" s="341"/>
      <c r="B251" s="341"/>
      <c r="C251" s="343" t="s">
        <v>336</v>
      </c>
      <c r="D251" s="345"/>
      <c r="E251" s="343" t="s">
        <v>337</v>
      </c>
      <c r="F251" s="345"/>
      <c r="G251" s="343" t="s">
        <v>14</v>
      </c>
      <c r="H251" s="345"/>
      <c r="I251" s="343" t="s">
        <v>336</v>
      </c>
      <c r="J251" s="345"/>
      <c r="K251" s="343" t="s">
        <v>337</v>
      </c>
      <c r="L251" s="345"/>
      <c r="M251" s="343" t="s">
        <v>14</v>
      </c>
      <c r="N251" s="345"/>
      <c r="O251" s="343" t="s">
        <v>336</v>
      </c>
      <c r="P251" s="345"/>
      <c r="Q251" s="343" t="s">
        <v>337</v>
      </c>
      <c r="R251" s="345"/>
      <c r="S251" s="343" t="s">
        <v>14</v>
      </c>
      <c r="T251" s="345"/>
      <c r="U251" s="343" t="s">
        <v>336</v>
      </c>
      <c r="V251" s="345"/>
      <c r="W251" s="343" t="s">
        <v>337</v>
      </c>
      <c r="X251" s="345"/>
      <c r="Y251" s="343" t="s">
        <v>14</v>
      </c>
      <c r="Z251" s="345"/>
      <c r="AA251" s="343" t="s">
        <v>336</v>
      </c>
      <c r="AB251" s="345"/>
      <c r="AC251" s="343" t="s">
        <v>337</v>
      </c>
      <c r="AD251" s="345"/>
      <c r="AE251" s="343" t="s">
        <v>14</v>
      </c>
      <c r="AF251" s="345"/>
      <c r="AG251" s="343" t="s">
        <v>336</v>
      </c>
      <c r="AH251" s="345"/>
      <c r="AI251" s="343" t="s">
        <v>337</v>
      </c>
      <c r="AJ251" s="345"/>
      <c r="AK251" s="343" t="s">
        <v>14</v>
      </c>
      <c r="AL251" s="345"/>
    </row>
    <row r="252" spans="1:38" ht="63">
      <c r="A252" s="342"/>
      <c r="B252" s="342"/>
      <c r="C252" s="167" t="s">
        <v>338</v>
      </c>
      <c r="D252" s="167" t="s">
        <v>339</v>
      </c>
      <c r="E252" s="167" t="s">
        <v>338</v>
      </c>
      <c r="F252" s="167" t="s">
        <v>339</v>
      </c>
      <c r="G252" s="167" t="s">
        <v>338</v>
      </c>
      <c r="H252" s="167" t="s">
        <v>339</v>
      </c>
      <c r="I252" s="167" t="s">
        <v>338</v>
      </c>
      <c r="J252" s="167" t="s">
        <v>339</v>
      </c>
      <c r="K252" s="167" t="s">
        <v>338</v>
      </c>
      <c r="L252" s="167" t="s">
        <v>339</v>
      </c>
      <c r="M252" s="167" t="s">
        <v>338</v>
      </c>
      <c r="N252" s="167" t="s">
        <v>339</v>
      </c>
      <c r="O252" s="167" t="s">
        <v>338</v>
      </c>
      <c r="P252" s="167" t="s">
        <v>339</v>
      </c>
      <c r="Q252" s="167" t="s">
        <v>338</v>
      </c>
      <c r="R252" s="167" t="s">
        <v>339</v>
      </c>
      <c r="S252" s="167" t="s">
        <v>338</v>
      </c>
      <c r="T252" s="167" t="s">
        <v>339</v>
      </c>
      <c r="U252" s="168" t="s">
        <v>338</v>
      </c>
      <c r="V252" s="168" t="s">
        <v>339</v>
      </c>
      <c r="W252" s="168" t="s">
        <v>338</v>
      </c>
      <c r="X252" s="168" t="s">
        <v>339</v>
      </c>
      <c r="Y252" s="168" t="s">
        <v>338</v>
      </c>
      <c r="Z252" s="168" t="s">
        <v>339</v>
      </c>
      <c r="AA252" s="168" t="s">
        <v>338</v>
      </c>
      <c r="AB252" s="168" t="s">
        <v>339</v>
      </c>
      <c r="AC252" s="168" t="s">
        <v>338</v>
      </c>
      <c r="AD252" s="168" t="s">
        <v>339</v>
      </c>
      <c r="AE252" s="168" t="s">
        <v>338</v>
      </c>
      <c r="AF252" s="168" t="s">
        <v>339</v>
      </c>
      <c r="AG252" s="168" t="s">
        <v>338</v>
      </c>
      <c r="AH252" s="168" t="s">
        <v>339</v>
      </c>
      <c r="AI252" s="168" t="s">
        <v>338</v>
      </c>
      <c r="AJ252" s="168" t="s">
        <v>339</v>
      </c>
      <c r="AK252" s="168" t="s">
        <v>338</v>
      </c>
      <c r="AL252" s="168" t="s">
        <v>339</v>
      </c>
    </row>
    <row r="253" spans="1:38" ht="21">
      <c r="A253" s="165">
        <v>1</v>
      </c>
      <c r="B253" s="166" t="s">
        <v>369</v>
      </c>
      <c r="C253" s="167"/>
      <c r="D253" s="167"/>
      <c r="E253" s="167"/>
      <c r="F253" s="167"/>
      <c r="G253" s="167">
        <v>0</v>
      </c>
      <c r="H253" s="167">
        <v>0</v>
      </c>
      <c r="I253" s="167">
        <v>9</v>
      </c>
      <c r="J253" s="167">
        <v>11</v>
      </c>
      <c r="K253" s="167"/>
      <c r="L253" s="167"/>
      <c r="M253" s="167">
        <v>9</v>
      </c>
      <c r="N253" s="167">
        <v>11</v>
      </c>
      <c r="O253" s="167"/>
      <c r="P253" s="167"/>
      <c r="Q253" s="167"/>
      <c r="R253" s="167"/>
      <c r="S253" s="167">
        <v>0</v>
      </c>
      <c r="T253" s="167">
        <v>0</v>
      </c>
      <c r="U253" s="168"/>
      <c r="V253" s="168"/>
      <c r="W253" s="168"/>
      <c r="X253" s="168"/>
      <c r="Y253" s="168">
        <v>0</v>
      </c>
      <c r="Z253" s="168">
        <v>0</v>
      </c>
      <c r="AA253" s="168">
        <v>9</v>
      </c>
      <c r="AB253" s="168">
        <v>10.25</v>
      </c>
      <c r="AC253" s="168"/>
      <c r="AD253" s="168"/>
      <c r="AE253" s="168">
        <v>9</v>
      </c>
      <c r="AF253" s="168">
        <v>10.25</v>
      </c>
      <c r="AG253" s="168"/>
      <c r="AH253" s="168"/>
      <c r="AI253" s="168"/>
      <c r="AJ253" s="168"/>
      <c r="AK253" s="168">
        <v>0</v>
      </c>
      <c r="AL253" s="168">
        <v>0</v>
      </c>
    </row>
    <row r="254" spans="1:38" ht="21">
      <c r="A254" s="165">
        <v>2</v>
      </c>
      <c r="B254" s="166" t="s">
        <v>370</v>
      </c>
      <c r="C254" s="167"/>
      <c r="D254" s="167"/>
      <c r="E254" s="167"/>
      <c r="F254" s="167"/>
      <c r="G254" s="167">
        <v>0</v>
      </c>
      <c r="H254" s="167">
        <v>0</v>
      </c>
      <c r="I254" s="167">
        <v>31</v>
      </c>
      <c r="J254" s="167">
        <v>37.67</v>
      </c>
      <c r="K254" s="167"/>
      <c r="L254" s="167"/>
      <c r="M254" s="167">
        <v>31</v>
      </c>
      <c r="N254" s="167">
        <v>37.67</v>
      </c>
      <c r="O254" s="167"/>
      <c r="P254" s="167"/>
      <c r="Q254" s="167"/>
      <c r="R254" s="167"/>
      <c r="S254" s="167">
        <v>0</v>
      </c>
      <c r="T254" s="167">
        <v>0</v>
      </c>
      <c r="U254" s="168"/>
      <c r="V254" s="168"/>
      <c r="W254" s="168"/>
      <c r="X254" s="168"/>
      <c r="Y254" s="168">
        <v>0</v>
      </c>
      <c r="Z254" s="168">
        <v>0</v>
      </c>
      <c r="AA254" s="168">
        <v>31</v>
      </c>
      <c r="AB254" s="168">
        <v>29.5</v>
      </c>
      <c r="AC254" s="168"/>
      <c r="AD254" s="168"/>
      <c r="AE254" s="168">
        <v>31</v>
      </c>
      <c r="AF254" s="168">
        <v>29.5</v>
      </c>
      <c r="AG254" s="168"/>
      <c r="AH254" s="168"/>
      <c r="AI254" s="168"/>
      <c r="AJ254" s="168"/>
      <c r="AK254" s="168">
        <v>0</v>
      </c>
      <c r="AL254" s="168">
        <v>0</v>
      </c>
    </row>
    <row r="255" spans="1:38" ht="21">
      <c r="A255" s="165">
        <v>3</v>
      </c>
      <c r="B255" s="166" t="s">
        <v>448</v>
      </c>
      <c r="C255" s="167"/>
      <c r="D255" s="167"/>
      <c r="E255" s="167"/>
      <c r="F255" s="167"/>
      <c r="G255" s="167">
        <v>0</v>
      </c>
      <c r="H255" s="167">
        <v>0</v>
      </c>
      <c r="I255" s="167">
        <v>35</v>
      </c>
      <c r="J255" s="167">
        <v>43.06</v>
      </c>
      <c r="K255" s="167"/>
      <c r="L255" s="167"/>
      <c r="M255" s="167">
        <v>35</v>
      </c>
      <c r="N255" s="167">
        <v>43.06</v>
      </c>
      <c r="O255" s="167"/>
      <c r="P255" s="167"/>
      <c r="Q255" s="167"/>
      <c r="R255" s="167"/>
      <c r="S255" s="167">
        <v>0</v>
      </c>
      <c r="T255" s="167">
        <v>0</v>
      </c>
      <c r="U255" s="168"/>
      <c r="V255" s="168"/>
      <c r="W255" s="168"/>
      <c r="X255" s="168"/>
      <c r="Y255" s="168">
        <v>0</v>
      </c>
      <c r="Z255" s="168">
        <v>0</v>
      </c>
      <c r="AA255" s="168">
        <v>35</v>
      </c>
      <c r="AB255" s="168">
        <v>33.36</v>
      </c>
      <c r="AC255" s="168"/>
      <c r="AD255" s="168"/>
      <c r="AE255" s="168">
        <v>35</v>
      </c>
      <c r="AF255" s="168">
        <v>33.36</v>
      </c>
      <c r="AG255" s="168"/>
      <c r="AH255" s="168"/>
      <c r="AI255" s="168"/>
      <c r="AJ255" s="168"/>
      <c r="AK255" s="168">
        <v>0</v>
      </c>
      <c r="AL255" s="168">
        <v>0</v>
      </c>
    </row>
    <row r="256" spans="1:38" ht="21">
      <c r="A256" s="165">
        <v>4</v>
      </c>
      <c r="B256" s="166" t="s">
        <v>449</v>
      </c>
      <c r="C256" s="167"/>
      <c r="D256" s="167"/>
      <c r="E256" s="167"/>
      <c r="F256" s="167"/>
      <c r="G256" s="167">
        <v>0</v>
      </c>
      <c r="H256" s="167">
        <v>0</v>
      </c>
      <c r="I256" s="167">
        <v>50</v>
      </c>
      <c r="J256" s="167">
        <v>55.56</v>
      </c>
      <c r="K256" s="167"/>
      <c r="L256" s="167"/>
      <c r="M256" s="167">
        <v>50</v>
      </c>
      <c r="N256" s="167">
        <v>55.56</v>
      </c>
      <c r="O256" s="167"/>
      <c r="P256" s="167"/>
      <c r="Q256" s="167"/>
      <c r="R256" s="167"/>
      <c r="S256" s="167">
        <v>0</v>
      </c>
      <c r="T256" s="167">
        <v>0</v>
      </c>
      <c r="U256" s="168"/>
      <c r="V256" s="168"/>
      <c r="W256" s="168"/>
      <c r="X256" s="168"/>
      <c r="Y256" s="168">
        <v>0</v>
      </c>
      <c r="Z256" s="168">
        <v>0</v>
      </c>
      <c r="AA256" s="168">
        <v>52</v>
      </c>
      <c r="AB256" s="168">
        <v>41.06</v>
      </c>
      <c r="AC256" s="168"/>
      <c r="AD256" s="168"/>
      <c r="AE256" s="168">
        <v>52</v>
      </c>
      <c r="AF256" s="168">
        <v>41.06</v>
      </c>
      <c r="AG256" s="168"/>
      <c r="AH256" s="168"/>
      <c r="AI256" s="168"/>
      <c r="AJ256" s="168"/>
      <c r="AK256" s="168">
        <v>0</v>
      </c>
      <c r="AL256" s="168">
        <v>0</v>
      </c>
    </row>
    <row r="257" spans="1:38" ht="21">
      <c r="A257" s="165">
        <v>5</v>
      </c>
      <c r="B257" s="166" t="s">
        <v>450</v>
      </c>
      <c r="C257" s="167"/>
      <c r="D257" s="167"/>
      <c r="E257" s="167"/>
      <c r="F257" s="167"/>
      <c r="G257" s="167">
        <v>0</v>
      </c>
      <c r="H257" s="167">
        <v>0</v>
      </c>
      <c r="I257" s="167">
        <v>55</v>
      </c>
      <c r="J257" s="167">
        <v>64</v>
      </c>
      <c r="K257" s="167"/>
      <c r="L257" s="167"/>
      <c r="M257" s="167">
        <v>55</v>
      </c>
      <c r="N257" s="167">
        <v>64</v>
      </c>
      <c r="O257" s="167"/>
      <c r="P257" s="167"/>
      <c r="Q257" s="167"/>
      <c r="R257" s="167"/>
      <c r="S257" s="167">
        <v>0</v>
      </c>
      <c r="T257" s="167">
        <v>0</v>
      </c>
      <c r="U257" s="168"/>
      <c r="V257" s="168"/>
      <c r="W257" s="168"/>
      <c r="X257" s="168"/>
      <c r="Y257" s="168">
        <v>0</v>
      </c>
      <c r="Z257" s="168">
        <v>0</v>
      </c>
      <c r="AA257" s="168">
        <v>56</v>
      </c>
      <c r="AB257" s="168">
        <v>51.58</v>
      </c>
      <c r="AC257" s="168"/>
      <c r="AD257" s="168"/>
      <c r="AE257" s="168">
        <v>56</v>
      </c>
      <c r="AF257" s="168">
        <v>51.58</v>
      </c>
      <c r="AG257" s="168"/>
      <c r="AH257" s="168"/>
      <c r="AI257" s="168"/>
      <c r="AJ257" s="168"/>
      <c r="AK257" s="168">
        <v>0</v>
      </c>
      <c r="AL257" s="168">
        <v>0</v>
      </c>
    </row>
    <row r="258" spans="1:38" ht="21">
      <c r="A258" s="346" t="s">
        <v>14</v>
      </c>
      <c r="B258" s="347"/>
      <c r="C258" s="167">
        <f>SUM(C253:C257)</f>
        <v>0</v>
      </c>
      <c r="D258" s="167">
        <f aca="true" t="shared" si="40" ref="D258:T258">SUM(D253:D257)</f>
        <v>0</v>
      </c>
      <c r="E258" s="167">
        <f t="shared" si="40"/>
        <v>0</v>
      </c>
      <c r="F258" s="167">
        <f t="shared" si="40"/>
        <v>0</v>
      </c>
      <c r="G258" s="167">
        <f t="shared" si="40"/>
        <v>0</v>
      </c>
      <c r="H258" s="167">
        <f t="shared" si="40"/>
        <v>0</v>
      </c>
      <c r="I258" s="167">
        <f t="shared" si="40"/>
        <v>180</v>
      </c>
      <c r="J258" s="167">
        <f t="shared" si="40"/>
        <v>211.29000000000002</v>
      </c>
      <c r="K258" s="167">
        <f t="shared" si="40"/>
        <v>0</v>
      </c>
      <c r="L258" s="167">
        <f t="shared" si="40"/>
        <v>0</v>
      </c>
      <c r="M258" s="167">
        <f t="shared" si="40"/>
        <v>180</v>
      </c>
      <c r="N258" s="167">
        <f t="shared" si="40"/>
        <v>211.29000000000002</v>
      </c>
      <c r="O258" s="167">
        <f t="shared" si="40"/>
        <v>0</v>
      </c>
      <c r="P258" s="167">
        <f t="shared" si="40"/>
        <v>0</v>
      </c>
      <c r="Q258" s="167">
        <f t="shared" si="40"/>
        <v>0</v>
      </c>
      <c r="R258" s="167">
        <f t="shared" si="40"/>
        <v>0</v>
      </c>
      <c r="S258" s="167">
        <f t="shared" si="40"/>
        <v>0</v>
      </c>
      <c r="T258" s="167">
        <f t="shared" si="40"/>
        <v>0</v>
      </c>
      <c r="U258" s="168">
        <f>+U253+U254+U255+U256+U257</f>
        <v>0</v>
      </c>
      <c r="V258" s="168">
        <f aca="true" t="shared" si="41" ref="V258:AL258">+V253+V254+V255+V256+V257</f>
        <v>0</v>
      </c>
      <c r="W258" s="168">
        <f t="shared" si="41"/>
        <v>0</v>
      </c>
      <c r="X258" s="168">
        <f t="shared" si="41"/>
        <v>0</v>
      </c>
      <c r="Y258" s="168">
        <f t="shared" si="41"/>
        <v>0</v>
      </c>
      <c r="Z258" s="168">
        <f t="shared" si="41"/>
        <v>0</v>
      </c>
      <c r="AA258" s="168">
        <f t="shared" si="41"/>
        <v>183</v>
      </c>
      <c r="AB258" s="168">
        <f t="shared" si="41"/>
        <v>165.75</v>
      </c>
      <c r="AC258" s="168">
        <f t="shared" si="41"/>
        <v>0</v>
      </c>
      <c r="AD258" s="168">
        <f t="shared" si="41"/>
        <v>0</v>
      </c>
      <c r="AE258" s="168">
        <f t="shared" si="41"/>
        <v>183</v>
      </c>
      <c r="AF258" s="168">
        <f t="shared" si="41"/>
        <v>165.75</v>
      </c>
      <c r="AG258" s="168">
        <f t="shared" si="41"/>
        <v>0</v>
      </c>
      <c r="AH258" s="168">
        <f t="shared" si="41"/>
        <v>0</v>
      </c>
      <c r="AI258" s="168">
        <f t="shared" si="41"/>
        <v>0</v>
      </c>
      <c r="AJ258" s="168">
        <f t="shared" si="41"/>
        <v>0</v>
      </c>
      <c r="AK258" s="168">
        <f t="shared" si="41"/>
        <v>0</v>
      </c>
      <c r="AL258" s="168">
        <f t="shared" si="41"/>
        <v>0</v>
      </c>
    </row>
    <row r="261" spans="2:38" ht="21">
      <c r="B261" s="161" t="s">
        <v>3</v>
      </c>
      <c r="U261" s="170">
        <f>+U16+U35+U53+U61+U69+U79+U89+U103+U118+U130+U143+U151+U167+U185+U207+U222+U234+U246+U258</f>
        <v>4.5600000000000005</v>
      </c>
      <c r="V261" s="170">
        <f aca="true" t="shared" si="42" ref="V261:AL261">+V16+V35+V53+V61+V69+V79+V89+V103+V118+V130+V143+V151+V167+V185+V207+V222+V234+V246+V258</f>
        <v>0</v>
      </c>
      <c r="W261" s="170">
        <f t="shared" si="42"/>
        <v>0</v>
      </c>
      <c r="X261" s="170">
        <f t="shared" si="42"/>
        <v>0</v>
      </c>
      <c r="Y261" s="170">
        <f t="shared" si="42"/>
        <v>0</v>
      </c>
      <c r="Z261" s="170">
        <f t="shared" si="42"/>
        <v>0</v>
      </c>
      <c r="AA261" s="170">
        <f t="shared" si="42"/>
        <v>15458</v>
      </c>
      <c r="AB261" s="170">
        <f t="shared" si="42"/>
        <v>12254.469999999998</v>
      </c>
      <c r="AC261" s="170">
        <f t="shared" si="42"/>
        <v>1666</v>
      </c>
      <c r="AD261" s="170">
        <f t="shared" si="42"/>
        <v>1251.78</v>
      </c>
      <c r="AE261" s="170">
        <f t="shared" si="42"/>
        <v>17124</v>
      </c>
      <c r="AF261" s="170">
        <f t="shared" si="42"/>
        <v>13506.25</v>
      </c>
      <c r="AG261" s="170">
        <f t="shared" si="42"/>
        <v>18</v>
      </c>
      <c r="AH261" s="170">
        <f t="shared" si="42"/>
        <v>8.950000000000001</v>
      </c>
      <c r="AI261" s="170">
        <f t="shared" si="42"/>
        <v>56</v>
      </c>
      <c r="AJ261" s="170">
        <f t="shared" si="42"/>
        <v>41.56</v>
      </c>
      <c r="AK261" s="170">
        <f t="shared" si="42"/>
        <v>74</v>
      </c>
      <c r="AL261" s="170">
        <f t="shared" si="42"/>
        <v>50.510000000000005</v>
      </c>
    </row>
    <row r="263" spans="37:38" ht="21">
      <c r="AK263" s="170">
        <f>+AE261+AK261</f>
        <v>17198</v>
      </c>
      <c r="AL263" s="170">
        <f>+AF261+AL261</f>
        <v>13556.76</v>
      </c>
    </row>
  </sheetData>
  <sheetProtection/>
  <mergeCells count="590">
    <mergeCell ref="AG251:AH251"/>
    <mergeCell ref="AI251:AJ251"/>
    <mergeCell ref="AK251:AL251"/>
    <mergeCell ref="A258:B258"/>
    <mergeCell ref="U251:V251"/>
    <mergeCell ref="W251:X251"/>
    <mergeCell ref="Y251:Z251"/>
    <mergeCell ref="AA251:AB251"/>
    <mergeCell ref="AC251:AD251"/>
    <mergeCell ref="AE251:AF251"/>
    <mergeCell ref="AG250:AL250"/>
    <mergeCell ref="C251:D251"/>
    <mergeCell ref="E251:F251"/>
    <mergeCell ref="G251:H251"/>
    <mergeCell ref="I251:J251"/>
    <mergeCell ref="K251:L251"/>
    <mergeCell ref="M251:N251"/>
    <mergeCell ref="O251:P251"/>
    <mergeCell ref="Q251:R251"/>
    <mergeCell ref="S251:T251"/>
    <mergeCell ref="A248:AL248"/>
    <mergeCell ref="A249:A252"/>
    <mergeCell ref="B249:B252"/>
    <mergeCell ref="C249:T249"/>
    <mergeCell ref="U249:AL249"/>
    <mergeCell ref="C250:H250"/>
    <mergeCell ref="I250:N250"/>
    <mergeCell ref="O250:T250"/>
    <mergeCell ref="U250:Z250"/>
    <mergeCell ref="AA250:AF250"/>
    <mergeCell ref="AE239:AF239"/>
    <mergeCell ref="AG239:AH239"/>
    <mergeCell ref="AI239:AJ239"/>
    <mergeCell ref="AK239:AL239"/>
    <mergeCell ref="A246:B246"/>
    <mergeCell ref="A247:AL247"/>
    <mergeCell ref="S239:T239"/>
    <mergeCell ref="U239:V239"/>
    <mergeCell ref="W239:X239"/>
    <mergeCell ref="Y239:Z239"/>
    <mergeCell ref="AA239:AB239"/>
    <mergeCell ref="AC239:AD239"/>
    <mergeCell ref="AA238:AF238"/>
    <mergeCell ref="AG238:AL238"/>
    <mergeCell ref="C239:D239"/>
    <mergeCell ref="E239:F239"/>
    <mergeCell ref="G239:H239"/>
    <mergeCell ref="I239:J239"/>
    <mergeCell ref="K239:L239"/>
    <mergeCell ref="M239:N239"/>
    <mergeCell ref="O239:P239"/>
    <mergeCell ref="Q239:R239"/>
    <mergeCell ref="A235:AL235"/>
    <mergeCell ref="A236:AL236"/>
    <mergeCell ref="A237:A240"/>
    <mergeCell ref="B237:B240"/>
    <mergeCell ref="C237:T237"/>
    <mergeCell ref="U237:AL237"/>
    <mergeCell ref="C238:H238"/>
    <mergeCell ref="I238:N238"/>
    <mergeCell ref="O238:T238"/>
    <mergeCell ref="U238:Z238"/>
    <mergeCell ref="AC227:AD227"/>
    <mergeCell ref="AE227:AF227"/>
    <mergeCell ref="AG227:AH227"/>
    <mergeCell ref="AI227:AJ227"/>
    <mergeCell ref="AK227:AL227"/>
    <mergeCell ref="A234:B234"/>
    <mergeCell ref="Q227:R227"/>
    <mergeCell ref="S227:T227"/>
    <mergeCell ref="U227:V227"/>
    <mergeCell ref="W227:X227"/>
    <mergeCell ref="Y227:Z227"/>
    <mergeCell ref="AA227:AB227"/>
    <mergeCell ref="U226:Z226"/>
    <mergeCell ref="AA226:AF226"/>
    <mergeCell ref="AG226:AL226"/>
    <mergeCell ref="C227:D227"/>
    <mergeCell ref="E227:F227"/>
    <mergeCell ref="G227:H227"/>
    <mergeCell ref="I227:J227"/>
    <mergeCell ref="K227:L227"/>
    <mergeCell ref="M227:N227"/>
    <mergeCell ref="O227:P227"/>
    <mergeCell ref="A222:B222"/>
    <mergeCell ref="A223:AL223"/>
    <mergeCell ref="A224:AL224"/>
    <mergeCell ref="A225:A228"/>
    <mergeCell ref="B225:B228"/>
    <mergeCell ref="C225:T225"/>
    <mergeCell ref="U225:AL225"/>
    <mergeCell ref="C226:H226"/>
    <mergeCell ref="I226:N226"/>
    <mergeCell ref="O226:T226"/>
    <mergeCell ref="AA212:AB212"/>
    <mergeCell ref="AC212:AD212"/>
    <mergeCell ref="AE212:AF212"/>
    <mergeCell ref="AG212:AH212"/>
    <mergeCell ref="AI212:AJ212"/>
    <mergeCell ref="AK212:AL212"/>
    <mergeCell ref="O212:P212"/>
    <mergeCell ref="Q212:R212"/>
    <mergeCell ref="S212:T212"/>
    <mergeCell ref="U212:V212"/>
    <mergeCell ref="W212:X212"/>
    <mergeCell ref="Y212:Z212"/>
    <mergeCell ref="C212:D212"/>
    <mergeCell ref="E212:F212"/>
    <mergeCell ref="G212:H212"/>
    <mergeCell ref="I212:J212"/>
    <mergeCell ref="K212:L212"/>
    <mergeCell ref="M212:N212"/>
    <mergeCell ref="A210:A213"/>
    <mergeCell ref="B210:B213"/>
    <mergeCell ref="C210:T210"/>
    <mergeCell ref="U210:AL210"/>
    <mergeCell ref="C211:H211"/>
    <mergeCell ref="I211:N211"/>
    <mergeCell ref="O211:T211"/>
    <mergeCell ref="U211:Z211"/>
    <mergeCell ref="AA211:AF211"/>
    <mergeCell ref="AG211:AL211"/>
    <mergeCell ref="AG190:AH190"/>
    <mergeCell ref="AI190:AJ190"/>
    <mergeCell ref="AK190:AL190"/>
    <mergeCell ref="A207:B207"/>
    <mergeCell ref="A208:AL208"/>
    <mergeCell ref="A209:AL209"/>
    <mergeCell ref="U190:V190"/>
    <mergeCell ref="W190:X190"/>
    <mergeCell ref="Y190:Z190"/>
    <mergeCell ref="AA190:AB190"/>
    <mergeCell ref="AC190:AD190"/>
    <mergeCell ref="AE190:AF190"/>
    <mergeCell ref="AG189:AL189"/>
    <mergeCell ref="C190:D190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A187:AL187"/>
    <mergeCell ref="A188:A191"/>
    <mergeCell ref="B188:B191"/>
    <mergeCell ref="C188:T188"/>
    <mergeCell ref="U188:AL188"/>
    <mergeCell ref="C189:H189"/>
    <mergeCell ref="I189:N189"/>
    <mergeCell ref="O189:T189"/>
    <mergeCell ref="U189:Z189"/>
    <mergeCell ref="AA189:AF189"/>
    <mergeCell ref="AE172:AF172"/>
    <mergeCell ref="AG172:AH172"/>
    <mergeCell ref="AI172:AJ172"/>
    <mergeCell ref="AK172:AL172"/>
    <mergeCell ref="A185:B185"/>
    <mergeCell ref="A186:AL186"/>
    <mergeCell ref="S172:T172"/>
    <mergeCell ref="U172:V172"/>
    <mergeCell ref="W172:X172"/>
    <mergeCell ref="Y172:Z172"/>
    <mergeCell ref="AA172:AB172"/>
    <mergeCell ref="AC172:AD172"/>
    <mergeCell ref="AA171:AF171"/>
    <mergeCell ref="AG171:AL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A168:AL168"/>
    <mergeCell ref="A169:AL169"/>
    <mergeCell ref="A170:A173"/>
    <mergeCell ref="B170:B173"/>
    <mergeCell ref="C170:T170"/>
    <mergeCell ref="U170:AL170"/>
    <mergeCell ref="C171:H171"/>
    <mergeCell ref="I171:N171"/>
    <mergeCell ref="O171:T171"/>
    <mergeCell ref="U171:Z171"/>
    <mergeCell ref="AC156:AD156"/>
    <mergeCell ref="AE156:AF156"/>
    <mergeCell ref="AG156:AH156"/>
    <mergeCell ref="AI156:AJ156"/>
    <mergeCell ref="AK156:AL156"/>
    <mergeCell ref="A167:B167"/>
    <mergeCell ref="Q156:R156"/>
    <mergeCell ref="S156:T156"/>
    <mergeCell ref="U156:V156"/>
    <mergeCell ref="W156:X156"/>
    <mergeCell ref="Y156:Z156"/>
    <mergeCell ref="AA156:AB156"/>
    <mergeCell ref="U155:Z155"/>
    <mergeCell ref="AA155:AF155"/>
    <mergeCell ref="AG155:AL155"/>
    <mergeCell ref="C156:D156"/>
    <mergeCell ref="E156:F156"/>
    <mergeCell ref="G156:H156"/>
    <mergeCell ref="I156:J156"/>
    <mergeCell ref="K156:L156"/>
    <mergeCell ref="M156:N156"/>
    <mergeCell ref="O156:P156"/>
    <mergeCell ref="A151:B151"/>
    <mergeCell ref="A152:AL152"/>
    <mergeCell ref="A153:AL153"/>
    <mergeCell ref="A154:A157"/>
    <mergeCell ref="B154:B157"/>
    <mergeCell ref="C154:T154"/>
    <mergeCell ref="U154:AL154"/>
    <mergeCell ref="C155:H155"/>
    <mergeCell ref="I155:N155"/>
    <mergeCell ref="O155:T155"/>
    <mergeCell ref="AA148:AB148"/>
    <mergeCell ref="AC148:AD148"/>
    <mergeCell ref="AE148:AF148"/>
    <mergeCell ref="AG148:AH148"/>
    <mergeCell ref="AI148:AJ148"/>
    <mergeCell ref="AK148:AL148"/>
    <mergeCell ref="O148:P148"/>
    <mergeCell ref="Q148:R148"/>
    <mergeCell ref="S148:T148"/>
    <mergeCell ref="U148:V148"/>
    <mergeCell ref="W148:X148"/>
    <mergeCell ref="Y148:Z148"/>
    <mergeCell ref="C148:D148"/>
    <mergeCell ref="E148:F148"/>
    <mergeCell ref="G148:H148"/>
    <mergeCell ref="I148:J148"/>
    <mergeCell ref="K148:L148"/>
    <mergeCell ref="M148:N148"/>
    <mergeCell ref="A146:A149"/>
    <mergeCell ref="B146:B149"/>
    <mergeCell ref="C146:T146"/>
    <mergeCell ref="U146:AL146"/>
    <mergeCell ref="C147:H147"/>
    <mergeCell ref="I147:N147"/>
    <mergeCell ref="O147:T147"/>
    <mergeCell ref="U147:Z147"/>
    <mergeCell ref="AA147:AF147"/>
    <mergeCell ref="AG147:AL147"/>
    <mergeCell ref="AG135:AH135"/>
    <mergeCell ref="AI135:AJ135"/>
    <mergeCell ref="AK135:AL135"/>
    <mergeCell ref="A143:B143"/>
    <mergeCell ref="A144:AL144"/>
    <mergeCell ref="A145:AL145"/>
    <mergeCell ref="U135:V135"/>
    <mergeCell ref="W135:X135"/>
    <mergeCell ref="Y135:Z135"/>
    <mergeCell ref="AA135:AB135"/>
    <mergeCell ref="AC135:AD135"/>
    <mergeCell ref="AE135:AF135"/>
    <mergeCell ref="AG134:AL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A132:AL132"/>
    <mergeCell ref="A133:A136"/>
    <mergeCell ref="B133:B136"/>
    <mergeCell ref="C133:T133"/>
    <mergeCell ref="U133:AL133"/>
    <mergeCell ref="C134:H134"/>
    <mergeCell ref="I134:N134"/>
    <mergeCell ref="O134:T134"/>
    <mergeCell ref="U134:Z134"/>
    <mergeCell ref="AA134:AF134"/>
    <mergeCell ref="AE123:AF123"/>
    <mergeCell ref="AG123:AH123"/>
    <mergeCell ref="AI123:AJ123"/>
    <mergeCell ref="AK123:AL123"/>
    <mergeCell ref="A130:B130"/>
    <mergeCell ref="A131:AL131"/>
    <mergeCell ref="S123:T123"/>
    <mergeCell ref="U123:V123"/>
    <mergeCell ref="W123:X123"/>
    <mergeCell ref="Y123:Z123"/>
    <mergeCell ref="AA123:AB123"/>
    <mergeCell ref="AC123:AD123"/>
    <mergeCell ref="AA122:AF122"/>
    <mergeCell ref="AG122:AL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A119:AL119"/>
    <mergeCell ref="A120:AL120"/>
    <mergeCell ref="A121:A124"/>
    <mergeCell ref="B121:B124"/>
    <mergeCell ref="C121:T121"/>
    <mergeCell ref="U121:AL121"/>
    <mergeCell ref="C122:H122"/>
    <mergeCell ref="I122:N122"/>
    <mergeCell ref="O122:T122"/>
    <mergeCell ref="U122:Z122"/>
    <mergeCell ref="AC108:AD108"/>
    <mergeCell ref="AE108:AF108"/>
    <mergeCell ref="AG108:AH108"/>
    <mergeCell ref="AI108:AJ108"/>
    <mergeCell ref="AK108:AL108"/>
    <mergeCell ref="A118:B118"/>
    <mergeCell ref="Q108:R108"/>
    <mergeCell ref="S108:T108"/>
    <mergeCell ref="U108:V108"/>
    <mergeCell ref="W108:X108"/>
    <mergeCell ref="Y108:Z108"/>
    <mergeCell ref="AA108:AB108"/>
    <mergeCell ref="U107:Z107"/>
    <mergeCell ref="AA107:AF107"/>
    <mergeCell ref="AG107:AL107"/>
    <mergeCell ref="C108:D108"/>
    <mergeCell ref="E108:F108"/>
    <mergeCell ref="G108:H108"/>
    <mergeCell ref="I108:J108"/>
    <mergeCell ref="K108:L108"/>
    <mergeCell ref="M108:N108"/>
    <mergeCell ref="O108:P108"/>
    <mergeCell ref="A103:B103"/>
    <mergeCell ref="A104:AL104"/>
    <mergeCell ref="A105:AL105"/>
    <mergeCell ref="A106:A109"/>
    <mergeCell ref="B106:B109"/>
    <mergeCell ref="C106:T106"/>
    <mergeCell ref="U106:AL106"/>
    <mergeCell ref="C107:H107"/>
    <mergeCell ref="I107:N107"/>
    <mergeCell ref="O107:T107"/>
    <mergeCell ref="AA94:AB94"/>
    <mergeCell ref="AC94:AD94"/>
    <mergeCell ref="AE94:AF94"/>
    <mergeCell ref="AG94:AH94"/>
    <mergeCell ref="AI94:AJ94"/>
    <mergeCell ref="AK94:AL94"/>
    <mergeCell ref="O94:P94"/>
    <mergeCell ref="Q94:R94"/>
    <mergeCell ref="S94:T94"/>
    <mergeCell ref="U94:V94"/>
    <mergeCell ref="W94:X94"/>
    <mergeCell ref="Y94:Z94"/>
    <mergeCell ref="C94:D94"/>
    <mergeCell ref="E94:F94"/>
    <mergeCell ref="G94:H94"/>
    <mergeCell ref="I94:J94"/>
    <mergeCell ref="K94:L94"/>
    <mergeCell ref="M94:N94"/>
    <mergeCell ref="A92:A95"/>
    <mergeCell ref="B92:B95"/>
    <mergeCell ref="C92:T92"/>
    <mergeCell ref="U92:AL92"/>
    <mergeCell ref="C93:H93"/>
    <mergeCell ref="I93:N93"/>
    <mergeCell ref="O93:T93"/>
    <mergeCell ref="U93:Z93"/>
    <mergeCell ref="AA93:AF93"/>
    <mergeCell ref="AG93:AL93"/>
    <mergeCell ref="AG84:AH84"/>
    <mergeCell ref="AI84:AJ84"/>
    <mergeCell ref="AK84:AL84"/>
    <mergeCell ref="A89:B89"/>
    <mergeCell ref="A90:AL90"/>
    <mergeCell ref="A91:AL91"/>
    <mergeCell ref="U84:V84"/>
    <mergeCell ref="W84:X84"/>
    <mergeCell ref="Y84:Z84"/>
    <mergeCell ref="AA84:AB84"/>
    <mergeCell ref="AC84:AD84"/>
    <mergeCell ref="AE84:AF84"/>
    <mergeCell ref="AG83:AL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A81:AL81"/>
    <mergeCell ref="A82:A85"/>
    <mergeCell ref="B82:B85"/>
    <mergeCell ref="C82:T82"/>
    <mergeCell ref="U82:AL82"/>
    <mergeCell ref="C83:H83"/>
    <mergeCell ref="I83:N83"/>
    <mergeCell ref="O83:T83"/>
    <mergeCell ref="U83:Z83"/>
    <mergeCell ref="AA83:AF83"/>
    <mergeCell ref="AE74:AF74"/>
    <mergeCell ref="AG74:AH74"/>
    <mergeCell ref="AI74:AJ74"/>
    <mergeCell ref="AK74:AL74"/>
    <mergeCell ref="A79:B79"/>
    <mergeCell ref="A80:AL80"/>
    <mergeCell ref="S74:T74"/>
    <mergeCell ref="U74:V74"/>
    <mergeCell ref="W74:X74"/>
    <mergeCell ref="Y74:Z74"/>
    <mergeCell ref="AA74:AB74"/>
    <mergeCell ref="AC74:AD74"/>
    <mergeCell ref="AA73:AF73"/>
    <mergeCell ref="AG73:AL73"/>
    <mergeCell ref="C74:D74"/>
    <mergeCell ref="E74:F74"/>
    <mergeCell ref="G74:H74"/>
    <mergeCell ref="I74:J74"/>
    <mergeCell ref="K74:L74"/>
    <mergeCell ref="M74:N74"/>
    <mergeCell ref="O74:P74"/>
    <mergeCell ref="Q74:R74"/>
    <mergeCell ref="A70:AL70"/>
    <mergeCell ref="A71:AL71"/>
    <mergeCell ref="A72:A75"/>
    <mergeCell ref="B72:B75"/>
    <mergeCell ref="C72:T72"/>
    <mergeCell ref="U72:AL72"/>
    <mergeCell ref="C73:H73"/>
    <mergeCell ref="I73:N73"/>
    <mergeCell ref="O73:T73"/>
    <mergeCell ref="U73:Z73"/>
    <mergeCell ref="AC66:AD66"/>
    <mergeCell ref="AE66:AF66"/>
    <mergeCell ref="AG66:AH66"/>
    <mergeCell ref="AI66:AJ66"/>
    <mergeCell ref="AK66:AL66"/>
    <mergeCell ref="A69:B69"/>
    <mergeCell ref="Q66:R66"/>
    <mergeCell ref="S66:T66"/>
    <mergeCell ref="U66:V66"/>
    <mergeCell ref="W66:X66"/>
    <mergeCell ref="Y66:Z66"/>
    <mergeCell ref="AA66:AB66"/>
    <mergeCell ref="U65:Z65"/>
    <mergeCell ref="AA65:AF65"/>
    <mergeCell ref="AG65:AL65"/>
    <mergeCell ref="C66:D66"/>
    <mergeCell ref="E66:F66"/>
    <mergeCell ref="G66:H66"/>
    <mergeCell ref="I66:J66"/>
    <mergeCell ref="K66:L66"/>
    <mergeCell ref="M66:N66"/>
    <mergeCell ref="O66:P66"/>
    <mergeCell ref="A61:B61"/>
    <mergeCell ref="A62:AL62"/>
    <mergeCell ref="A63:AL63"/>
    <mergeCell ref="A64:A67"/>
    <mergeCell ref="B64:B67"/>
    <mergeCell ref="C64:T64"/>
    <mergeCell ref="U64:AL64"/>
    <mergeCell ref="C65:H65"/>
    <mergeCell ref="I65:N65"/>
    <mergeCell ref="O65:T65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A56:A59"/>
    <mergeCell ref="B56:B59"/>
    <mergeCell ref="C56:T56"/>
    <mergeCell ref="U56:AL56"/>
    <mergeCell ref="C57:H57"/>
    <mergeCell ref="I57:N57"/>
    <mergeCell ref="O57:T57"/>
    <mergeCell ref="U57:Z57"/>
    <mergeCell ref="AA57:AF57"/>
    <mergeCell ref="AG57:AL57"/>
    <mergeCell ref="AG40:AH40"/>
    <mergeCell ref="AI40:AJ40"/>
    <mergeCell ref="AK40:AL40"/>
    <mergeCell ref="A53:B53"/>
    <mergeCell ref="A54:AL54"/>
    <mergeCell ref="A55:AL55"/>
    <mergeCell ref="U40:V40"/>
    <mergeCell ref="W40:X40"/>
    <mergeCell ref="Y40:Z40"/>
    <mergeCell ref="AA40:AB40"/>
    <mergeCell ref="AC40:AD40"/>
    <mergeCell ref="AE40:AF40"/>
    <mergeCell ref="AG39:AL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A37:AL37"/>
    <mergeCell ref="A38:A41"/>
    <mergeCell ref="B38:B41"/>
    <mergeCell ref="C38:T38"/>
    <mergeCell ref="U38:AL38"/>
    <mergeCell ref="C39:H39"/>
    <mergeCell ref="I39:N39"/>
    <mergeCell ref="O39:T39"/>
    <mergeCell ref="U39:Z39"/>
    <mergeCell ref="AA39:AF39"/>
    <mergeCell ref="AE21:AF21"/>
    <mergeCell ref="AG21:AH21"/>
    <mergeCell ref="AI21:AJ21"/>
    <mergeCell ref="AK21:AL21"/>
    <mergeCell ref="O21:P21"/>
    <mergeCell ref="Q21:R21"/>
    <mergeCell ref="A35:B35"/>
    <mergeCell ref="A36:AL36"/>
    <mergeCell ref="S21:T21"/>
    <mergeCell ref="U21:V21"/>
    <mergeCell ref="W21:X21"/>
    <mergeCell ref="Y21:Z21"/>
    <mergeCell ref="AA21:AB21"/>
    <mergeCell ref="AC21:AD21"/>
    <mergeCell ref="O20:T20"/>
    <mergeCell ref="U20:Z20"/>
    <mergeCell ref="AA20:AF20"/>
    <mergeCell ref="AG20:AL20"/>
    <mergeCell ref="C21:D21"/>
    <mergeCell ref="E21:F21"/>
    <mergeCell ref="G21:H21"/>
    <mergeCell ref="I21:J21"/>
    <mergeCell ref="K21:L21"/>
    <mergeCell ref="M21:N21"/>
    <mergeCell ref="AC6:AD6"/>
    <mergeCell ref="AE6:AF6"/>
    <mergeCell ref="A17:AL17"/>
    <mergeCell ref="A18:AL18"/>
    <mergeCell ref="A19:A22"/>
    <mergeCell ref="B19:B22"/>
    <mergeCell ref="C19:T19"/>
    <mergeCell ref="U19:AL19"/>
    <mergeCell ref="C20:H20"/>
    <mergeCell ref="I20:N20"/>
    <mergeCell ref="AG5:AL5"/>
    <mergeCell ref="C6:D6"/>
    <mergeCell ref="AK6:AL6"/>
    <mergeCell ref="A16:B16"/>
    <mergeCell ref="Q6:R6"/>
    <mergeCell ref="S6:T6"/>
    <mergeCell ref="U6:V6"/>
    <mergeCell ref="W6:X6"/>
    <mergeCell ref="I6:J6"/>
    <mergeCell ref="K6:L6"/>
    <mergeCell ref="M6:N6"/>
    <mergeCell ref="O6:P6"/>
    <mergeCell ref="AG6:AH6"/>
    <mergeCell ref="AI6:AJ6"/>
    <mergeCell ref="U4:AL4"/>
    <mergeCell ref="C5:H5"/>
    <mergeCell ref="Y6:Z6"/>
    <mergeCell ref="AA6:AB6"/>
    <mergeCell ref="U5:Z5"/>
    <mergeCell ref="AA5:AF5"/>
    <mergeCell ref="A1:AL1"/>
    <mergeCell ref="A2:AL2"/>
    <mergeCell ref="A3:AL3"/>
    <mergeCell ref="A4:A7"/>
    <mergeCell ref="B4:B7"/>
    <mergeCell ref="C4:T4"/>
    <mergeCell ref="E6:F6"/>
    <mergeCell ref="G6:H6"/>
    <mergeCell ref="I5:N5"/>
    <mergeCell ref="O5:T5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3.8515625" style="120" customWidth="1"/>
    <col min="2" max="2" width="21.00390625" style="88" customWidth="1"/>
    <col min="3" max="3" width="39.00390625" style="88" bestFit="1" customWidth="1"/>
    <col min="4" max="5" width="14.421875" style="88" bestFit="1" customWidth="1"/>
    <col min="6" max="6" width="13.421875" style="88" bestFit="1" customWidth="1"/>
    <col min="7" max="7" width="12.421875" style="88" bestFit="1" customWidth="1"/>
    <col min="8" max="8" width="13.421875" style="89" bestFit="1" customWidth="1"/>
    <col min="9" max="9" width="6.421875" style="88" bestFit="1" customWidth="1"/>
    <col min="10" max="11" width="12.421875" style="88" bestFit="1" customWidth="1"/>
    <col min="12" max="12" width="6.421875" style="88" bestFit="1" customWidth="1"/>
    <col min="13" max="13" width="13.421875" style="88" bestFit="1" customWidth="1"/>
    <col min="14" max="14" width="14.421875" style="88" customWidth="1"/>
    <col min="15" max="15" width="6.421875" style="88" bestFit="1" customWidth="1"/>
    <col min="16" max="17" width="14.421875" style="88" bestFit="1" customWidth="1"/>
    <col min="18" max="18" width="6.421875" style="88" bestFit="1" customWidth="1"/>
    <col min="19" max="19" width="7.140625" style="88" customWidth="1"/>
    <col min="20" max="20" width="12.421875" style="88" bestFit="1" customWidth="1"/>
    <col min="21" max="21" width="6.421875" style="88" bestFit="1" customWidth="1"/>
    <col min="22" max="22" width="12.421875" style="88" bestFit="1" customWidth="1"/>
    <col min="23" max="23" width="13.421875" style="88" bestFit="1" customWidth="1"/>
    <col min="24" max="24" width="6.421875" style="88" bestFit="1" customWidth="1"/>
    <col min="25" max="26" width="14.421875" style="88" bestFit="1" customWidth="1"/>
    <col min="27" max="27" width="13.421875" style="88" bestFit="1" customWidth="1"/>
    <col min="28" max="28" width="15.8515625" style="88" bestFit="1" customWidth="1"/>
    <col min="29" max="29" width="9.00390625" style="88" customWidth="1"/>
    <col min="30" max="30" width="15.8515625" style="88" bestFit="1" customWidth="1"/>
    <col min="31" max="31" width="12.421875" style="88" bestFit="1" customWidth="1"/>
    <col min="32" max="32" width="11.00390625" style="88" bestFit="1" customWidth="1"/>
    <col min="33" max="33" width="13.421875" style="88" bestFit="1" customWidth="1"/>
    <col min="34" max="16384" width="9.00390625" style="88" customWidth="1"/>
  </cols>
  <sheetData>
    <row r="1" spans="1:27" s="85" customFormat="1" ht="23.25">
      <c r="A1" s="278" t="s">
        <v>266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s="85" customFormat="1" ht="20.25" customHeight="1">
      <c r="A2" s="86"/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3" ht="30" customHeight="1">
      <c r="A3" s="279" t="s">
        <v>267</v>
      </c>
      <c r="B3" s="279"/>
      <c r="C3" s="279"/>
    </row>
    <row r="4" spans="1:28" ht="21">
      <c r="A4" s="280" t="s">
        <v>257</v>
      </c>
      <c r="B4" s="281" t="s">
        <v>268</v>
      </c>
      <c r="C4" s="280" t="s">
        <v>269</v>
      </c>
      <c r="D4" s="268" t="s">
        <v>270</v>
      </c>
      <c r="E4" s="269"/>
      <c r="F4" s="269"/>
      <c r="G4" s="268" t="s">
        <v>271</v>
      </c>
      <c r="H4" s="269"/>
      <c r="I4" s="269"/>
      <c r="J4" s="268" t="s">
        <v>125</v>
      </c>
      <c r="K4" s="269"/>
      <c r="L4" s="269"/>
      <c r="M4" s="282" t="s">
        <v>272</v>
      </c>
      <c r="N4" s="283"/>
      <c r="O4" s="283"/>
      <c r="P4" s="268" t="s">
        <v>273</v>
      </c>
      <c r="Q4" s="269"/>
      <c r="R4" s="269"/>
      <c r="S4" s="268" t="s">
        <v>274</v>
      </c>
      <c r="T4" s="269"/>
      <c r="U4" s="269"/>
      <c r="V4" s="268" t="s">
        <v>275</v>
      </c>
      <c r="W4" s="269"/>
      <c r="X4" s="269"/>
      <c r="Y4" s="268" t="s">
        <v>14</v>
      </c>
      <c r="Z4" s="269"/>
      <c r="AA4" s="269"/>
      <c r="AB4" s="270" t="s">
        <v>3</v>
      </c>
    </row>
    <row r="5" spans="1:28" ht="21">
      <c r="A5" s="280"/>
      <c r="B5" s="280"/>
      <c r="C5" s="280"/>
      <c r="D5" s="90" t="s">
        <v>0</v>
      </c>
      <c r="E5" s="91" t="s">
        <v>1</v>
      </c>
      <c r="F5" s="91" t="s">
        <v>4</v>
      </c>
      <c r="G5" s="90" t="s">
        <v>0</v>
      </c>
      <c r="H5" s="92" t="s">
        <v>1</v>
      </c>
      <c r="I5" s="91" t="s">
        <v>4</v>
      </c>
      <c r="J5" s="90" t="s">
        <v>0</v>
      </c>
      <c r="K5" s="91" t="s">
        <v>1</v>
      </c>
      <c r="L5" s="91" t="s">
        <v>4</v>
      </c>
      <c r="M5" s="90" t="s">
        <v>0</v>
      </c>
      <c r="N5" s="91" t="s">
        <v>1</v>
      </c>
      <c r="O5" s="91" t="s">
        <v>4</v>
      </c>
      <c r="P5" s="90" t="s">
        <v>0</v>
      </c>
      <c r="Q5" s="91" t="s">
        <v>1</v>
      </c>
      <c r="R5" s="91" t="s">
        <v>4</v>
      </c>
      <c r="S5" s="90" t="s">
        <v>0</v>
      </c>
      <c r="T5" s="91" t="s">
        <v>1</v>
      </c>
      <c r="U5" s="91" t="s">
        <v>4</v>
      </c>
      <c r="V5" s="90" t="s">
        <v>0</v>
      </c>
      <c r="W5" s="91" t="s">
        <v>1</v>
      </c>
      <c r="X5" s="91" t="s">
        <v>4</v>
      </c>
      <c r="Y5" s="90" t="s">
        <v>0</v>
      </c>
      <c r="Z5" s="91" t="s">
        <v>1</v>
      </c>
      <c r="AA5" s="91" t="s">
        <v>4</v>
      </c>
      <c r="AB5" s="271"/>
    </row>
    <row r="6" spans="1:28" ht="21">
      <c r="A6" s="272" t="s">
        <v>231</v>
      </c>
      <c r="B6" s="273"/>
      <c r="C6" s="274"/>
      <c r="D6" s="93"/>
      <c r="E6" s="93"/>
      <c r="F6" s="93"/>
      <c r="G6" s="93"/>
      <c r="H6" s="94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ht="21">
      <c r="A7" s="95">
        <v>1</v>
      </c>
      <c r="B7" s="93" t="s">
        <v>276</v>
      </c>
      <c r="C7" s="96" t="s">
        <v>277</v>
      </c>
      <c r="D7" s="94">
        <v>33905361.75</v>
      </c>
      <c r="E7" s="94">
        <v>3832028.9899999998</v>
      </c>
      <c r="F7" s="94">
        <v>200502.59</v>
      </c>
      <c r="G7" s="94"/>
      <c r="H7" s="94">
        <v>516430</v>
      </c>
      <c r="I7" s="94"/>
      <c r="J7" s="94"/>
      <c r="K7" s="94">
        <v>288944.86</v>
      </c>
      <c r="L7" s="94"/>
      <c r="M7" s="94">
        <v>7052155.63</v>
      </c>
      <c r="N7" s="94">
        <v>12946787.920000002</v>
      </c>
      <c r="O7" s="94"/>
      <c r="P7" s="94">
        <v>36150863.99</v>
      </c>
      <c r="Q7" s="94">
        <v>3441464.32</v>
      </c>
      <c r="R7" s="94"/>
      <c r="S7" s="94"/>
      <c r="T7" s="94"/>
      <c r="U7" s="94"/>
      <c r="V7" s="94"/>
      <c r="W7" s="94">
        <v>1048530</v>
      </c>
      <c r="X7" s="94"/>
      <c r="Y7" s="97">
        <f>D7+G7+J7+M7+P7+S7+V7</f>
        <v>77108381.37</v>
      </c>
      <c r="Z7" s="97">
        <f aca="true" t="shared" si="0" ref="Y7:AA22">E7+H7+K7+N7+Q7+T7+W7</f>
        <v>22074186.090000004</v>
      </c>
      <c r="AA7" s="97">
        <f t="shared" si="0"/>
        <v>200502.59</v>
      </c>
      <c r="AB7" s="97">
        <f aca="true" t="shared" si="1" ref="AB7:AB23">Y7+Z7+AA7</f>
        <v>99383070.05000001</v>
      </c>
    </row>
    <row r="8" spans="1:28" ht="21">
      <c r="A8" s="95">
        <v>2</v>
      </c>
      <c r="B8" s="93" t="s">
        <v>276</v>
      </c>
      <c r="C8" s="96" t="s">
        <v>260</v>
      </c>
      <c r="D8" s="94">
        <v>18579669.37</v>
      </c>
      <c r="E8" s="94">
        <v>4491812.800000001</v>
      </c>
      <c r="F8" s="94">
        <v>273362.31</v>
      </c>
      <c r="G8" s="94">
        <v>14948</v>
      </c>
      <c r="H8" s="94">
        <v>472790</v>
      </c>
      <c r="I8" s="94"/>
      <c r="J8" s="94"/>
      <c r="K8" s="94"/>
      <c r="L8" s="94"/>
      <c r="M8" s="94">
        <v>3581785</v>
      </c>
      <c r="N8" s="94">
        <v>13470433.73</v>
      </c>
      <c r="O8" s="94"/>
      <c r="P8" s="94">
        <v>22534471.75</v>
      </c>
      <c r="Q8" s="94">
        <v>2106857.15</v>
      </c>
      <c r="R8" s="94"/>
      <c r="S8" s="94"/>
      <c r="T8" s="94"/>
      <c r="U8" s="94"/>
      <c r="V8" s="94"/>
      <c r="W8" s="94">
        <v>1115000</v>
      </c>
      <c r="X8" s="94"/>
      <c r="Y8" s="97">
        <f aca="true" t="shared" si="2" ref="Y8:Y16">D8+G8+J8+M8+P8+S8+V8</f>
        <v>44710874.120000005</v>
      </c>
      <c r="Z8" s="97">
        <f t="shared" si="0"/>
        <v>21656893.68</v>
      </c>
      <c r="AA8" s="97">
        <f t="shared" si="0"/>
        <v>273362.31</v>
      </c>
      <c r="AB8" s="97">
        <f t="shared" si="1"/>
        <v>66641130.11000001</v>
      </c>
    </row>
    <row r="9" spans="1:28" ht="21">
      <c r="A9" s="95">
        <v>3</v>
      </c>
      <c r="B9" s="93" t="s">
        <v>276</v>
      </c>
      <c r="C9" s="96" t="s">
        <v>278</v>
      </c>
      <c r="D9" s="94">
        <v>32866729.48</v>
      </c>
      <c r="E9" s="94">
        <v>4263557.21</v>
      </c>
      <c r="F9" s="94">
        <v>132845.38</v>
      </c>
      <c r="G9" s="94">
        <v>65914</v>
      </c>
      <c r="H9" s="94">
        <v>1124370</v>
      </c>
      <c r="I9" s="94"/>
      <c r="J9" s="94">
        <v>4590</v>
      </c>
      <c r="K9" s="94">
        <v>720</v>
      </c>
      <c r="L9" s="94"/>
      <c r="M9" s="94">
        <v>5229056.36</v>
      </c>
      <c r="N9" s="94">
        <v>8038402.41</v>
      </c>
      <c r="O9" s="94"/>
      <c r="P9" s="94">
        <v>13370281.56</v>
      </c>
      <c r="Q9" s="94">
        <v>4086279.14</v>
      </c>
      <c r="R9" s="94"/>
      <c r="S9" s="94"/>
      <c r="T9" s="94"/>
      <c r="U9" s="94"/>
      <c r="V9" s="94"/>
      <c r="W9" s="94">
        <v>1828370</v>
      </c>
      <c r="X9" s="94"/>
      <c r="Y9" s="97">
        <f t="shared" si="2"/>
        <v>51536571.400000006</v>
      </c>
      <c r="Z9" s="97">
        <f t="shared" si="0"/>
        <v>19341698.76</v>
      </c>
      <c r="AA9" s="97">
        <f t="shared" si="0"/>
        <v>132845.38</v>
      </c>
      <c r="AB9" s="97">
        <f t="shared" si="1"/>
        <v>71011115.54</v>
      </c>
    </row>
    <row r="10" spans="1:28" ht="21">
      <c r="A10" s="95">
        <v>4</v>
      </c>
      <c r="B10" s="93" t="s">
        <v>276</v>
      </c>
      <c r="C10" s="96" t="s">
        <v>262</v>
      </c>
      <c r="D10" s="94">
        <v>18125144.16</v>
      </c>
      <c r="E10" s="94">
        <v>1705273.25</v>
      </c>
      <c r="F10" s="94">
        <v>43050.46</v>
      </c>
      <c r="G10" s="94"/>
      <c r="H10" s="94">
        <v>276638</v>
      </c>
      <c r="I10" s="94"/>
      <c r="J10" s="94"/>
      <c r="K10" s="94">
        <v>6419</v>
      </c>
      <c r="L10" s="94"/>
      <c r="M10" s="94">
        <v>34430</v>
      </c>
      <c r="N10" s="94">
        <v>1189285.79</v>
      </c>
      <c r="O10" s="94"/>
      <c r="P10" s="94">
        <v>4401113.72</v>
      </c>
      <c r="Q10" s="94">
        <v>351665.28</v>
      </c>
      <c r="R10" s="94"/>
      <c r="S10" s="94"/>
      <c r="T10" s="94"/>
      <c r="U10" s="94"/>
      <c r="V10" s="94"/>
      <c r="W10" s="94">
        <v>225000</v>
      </c>
      <c r="X10" s="94"/>
      <c r="Y10" s="97">
        <f t="shared" si="2"/>
        <v>22560687.88</v>
      </c>
      <c r="Z10" s="97">
        <f t="shared" si="0"/>
        <v>3754281.3200000003</v>
      </c>
      <c r="AA10" s="97">
        <f t="shared" si="0"/>
        <v>43050.46</v>
      </c>
      <c r="AB10" s="97">
        <f t="shared" si="1"/>
        <v>26358019.66</v>
      </c>
    </row>
    <row r="11" spans="1:28" ht="21">
      <c r="A11" s="95">
        <v>5</v>
      </c>
      <c r="B11" s="93" t="s">
        <v>276</v>
      </c>
      <c r="C11" s="96" t="s">
        <v>263</v>
      </c>
      <c r="D11" s="94">
        <v>17898134.57</v>
      </c>
      <c r="E11" s="94">
        <v>2577608.7399999998</v>
      </c>
      <c r="F11" s="94">
        <v>68633.68</v>
      </c>
      <c r="G11" s="94"/>
      <c r="H11" s="94">
        <v>630919</v>
      </c>
      <c r="I11" s="94"/>
      <c r="J11" s="94"/>
      <c r="K11" s="94">
        <v>23676</v>
      </c>
      <c r="L11" s="94"/>
      <c r="M11" s="94">
        <v>5446</v>
      </c>
      <c r="N11" s="94">
        <v>4573032.2</v>
      </c>
      <c r="O11" s="94"/>
      <c r="P11" s="94">
        <v>11211794.42</v>
      </c>
      <c r="Q11" s="94">
        <v>2622786.35</v>
      </c>
      <c r="R11" s="94"/>
      <c r="S11" s="94"/>
      <c r="T11" s="94"/>
      <c r="U11" s="94"/>
      <c r="V11" s="94"/>
      <c r="W11" s="94">
        <v>832130</v>
      </c>
      <c r="X11" s="94"/>
      <c r="Y11" s="97">
        <f t="shared" si="2"/>
        <v>29115374.990000002</v>
      </c>
      <c r="Z11" s="97">
        <f t="shared" si="0"/>
        <v>11260152.29</v>
      </c>
      <c r="AA11" s="97">
        <f t="shared" si="0"/>
        <v>68633.68</v>
      </c>
      <c r="AB11" s="97">
        <f t="shared" si="1"/>
        <v>40444160.96</v>
      </c>
    </row>
    <row r="12" spans="1:28" ht="21">
      <c r="A12" s="95">
        <v>6</v>
      </c>
      <c r="B12" s="93" t="s">
        <v>276</v>
      </c>
      <c r="C12" s="96" t="s">
        <v>197</v>
      </c>
      <c r="D12" s="94">
        <v>16030156.52</v>
      </c>
      <c r="E12" s="94">
        <v>2058569.7</v>
      </c>
      <c r="F12" s="94">
        <v>23225.68</v>
      </c>
      <c r="G12" s="94"/>
      <c r="H12" s="94">
        <v>64800</v>
      </c>
      <c r="I12" s="94"/>
      <c r="J12" s="94">
        <v>480</v>
      </c>
      <c r="K12" s="94"/>
      <c r="L12" s="94"/>
      <c r="M12" s="94">
        <v>18182</v>
      </c>
      <c r="N12" s="94">
        <v>2023357.56</v>
      </c>
      <c r="O12" s="94"/>
      <c r="P12" s="94">
        <v>7872523.27</v>
      </c>
      <c r="Q12" s="94">
        <v>1359929.11</v>
      </c>
      <c r="R12" s="94"/>
      <c r="S12" s="94"/>
      <c r="T12" s="94"/>
      <c r="U12" s="94"/>
      <c r="V12" s="94"/>
      <c r="W12" s="94">
        <v>115000</v>
      </c>
      <c r="X12" s="94"/>
      <c r="Y12" s="97">
        <f t="shared" si="2"/>
        <v>23921341.79</v>
      </c>
      <c r="Z12" s="97">
        <f t="shared" si="0"/>
        <v>5621656.37</v>
      </c>
      <c r="AA12" s="97">
        <f t="shared" si="0"/>
        <v>23225.68</v>
      </c>
      <c r="AB12" s="97">
        <f t="shared" si="1"/>
        <v>29566223.84</v>
      </c>
    </row>
    <row r="13" spans="1:28" ht="21">
      <c r="A13" s="95">
        <v>7</v>
      </c>
      <c r="B13" s="93" t="s">
        <v>279</v>
      </c>
      <c r="C13" s="93" t="s">
        <v>280</v>
      </c>
      <c r="D13" s="94">
        <v>27530610.83</v>
      </c>
      <c r="E13" s="94">
        <v>1699976.01</v>
      </c>
      <c r="F13" s="94">
        <v>101017</v>
      </c>
      <c r="G13" s="94"/>
      <c r="H13" s="94">
        <v>49518</v>
      </c>
      <c r="I13" s="94">
        <v>0</v>
      </c>
      <c r="J13" s="94">
        <v>111672</v>
      </c>
      <c r="K13" s="94">
        <v>25392</v>
      </c>
      <c r="L13" s="94">
        <v>0</v>
      </c>
      <c r="M13" s="94">
        <v>1730176.55</v>
      </c>
      <c r="N13" s="94">
        <v>2413054.92</v>
      </c>
      <c r="O13" s="94">
        <v>0</v>
      </c>
      <c r="P13" s="94">
        <v>18181976.44</v>
      </c>
      <c r="Q13" s="94">
        <v>1501263.32</v>
      </c>
      <c r="R13" s="94">
        <v>0</v>
      </c>
      <c r="S13" s="94"/>
      <c r="T13" s="94"/>
      <c r="U13" s="94"/>
      <c r="V13" s="94">
        <v>52596</v>
      </c>
      <c r="W13" s="94">
        <v>0</v>
      </c>
      <c r="X13" s="94">
        <v>0</v>
      </c>
      <c r="Y13" s="97">
        <f t="shared" si="2"/>
        <v>47607031.82</v>
      </c>
      <c r="Z13" s="97">
        <f t="shared" si="0"/>
        <v>5689204.25</v>
      </c>
      <c r="AA13" s="97">
        <f t="shared" si="0"/>
        <v>101017</v>
      </c>
      <c r="AB13" s="97">
        <f t="shared" si="1"/>
        <v>53397253.07</v>
      </c>
    </row>
    <row r="14" spans="1:28" ht="21">
      <c r="A14" s="95">
        <v>8</v>
      </c>
      <c r="B14" s="93" t="s">
        <v>281</v>
      </c>
      <c r="C14" s="93" t="s">
        <v>282</v>
      </c>
      <c r="D14" s="97">
        <v>34567487</v>
      </c>
      <c r="E14" s="97">
        <v>2607599.91</v>
      </c>
      <c r="F14" s="97">
        <v>125825.5</v>
      </c>
      <c r="G14" s="97">
        <v>1322572</v>
      </c>
      <c r="H14" s="98">
        <v>0</v>
      </c>
      <c r="I14" s="97">
        <v>0</v>
      </c>
      <c r="J14" s="97">
        <v>12460.8</v>
      </c>
      <c r="K14" s="97">
        <v>242733.83</v>
      </c>
      <c r="L14" s="97">
        <v>0</v>
      </c>
      <c r="M14" s="97">
        <v>2056786.12</v>
      </c>
      <c r="N14" s="97">
        <v>1525259.3900000006</v>
      </c>
      <c r="O14" s="97">
        <v>0</v>
      </c>
      <c r="P14" s="97">
        <v>11544268.42</v>
      </c>
      <c r="Q14" s="97">
        <v>2112288.02</v>
      </c>
      <c r="R14" s="97">
        <v>0</v>
      </c>
      <c r="S14" s="97">
        <v>0</v>
      </c>
      <c r="T14" s="97">
        <v>2268269</v>
      </c>
      <c r="U14" s="97">
        <v>0</v>
      </c>
      <c r="V14" s="93"/>
      <c r="W14" s="93"/>
      <c r="X14" s="93"/>
      <c r="Y14" s="97">
        <f t="shared" si="2"/>
        <v>49503574.339999996</v>
      </c>
      <c r="Z14" s="97">
        <f t="shared" si="0"/>
        <v>8756150.15</v>
      </c>
      <c r="AA14" s="97">
        <f t="shared" si="0"/>
        <v>125825.5</v>
      </c>
      <c r="AB14" s="97">
        <f t="shared" si="1"/>
        <v>58385549.989999995</v>
      </c>
    </row>
    <row r="15" spans="1:28" ht="21">
      <c r="A15" s="95">
        <v>9</v>
      </c>
      <c r="B15" s="93" t="s">
        <v>281</v>
      </c>
      <c r="C15" s="93" t="s">
        <v>283</v>
      </c>
      <c r="D15" s="97">
        <v>0</v>
      </c>
      <c r="E15" s="97">
        <v>1956798.68</v>
      </c>
      <c r="F15" s="97">
        <v>790</v>
      </c>
      <c r="G15" s="97">
        <v>689000</v>
      </c>
      <c r="H15" s="98">
        <v>0</v>
      </c>
      <c r="I15" s="97">
        <v>0</v>
      </c>
      <c r="J15" s="97">
        <v>0</v>
      </c>
      <c r="K15" s="97">
        <v>4834</v>
      </c>
      <c r="L15" s="97">
        <v>0</v>
      </c>
      <c r="M15" s="97">
        <v>0</v>
      </c>
      <c r="N15" s="97">
        <v>1883574.9500000002</v>
      </c>
      <c r="O15" s="97">
        <v>0</v>
      </c>
      <c r="P15" s="97">
        <v>3964245.38</v>
      </c>
      <c r="Q15" s="97">
        <v>1562305.1</v>
      </c>
      <c r="R15" s="97">
        <v>0</v>
      </c>
      <c r="S15" s="97">
        <v>0</v>
      </c>
      <c r="T15" s="97">
        <v>357735</v>
      </c>
      <c r="U15" s="97">
        <v>0</v>
      </c>
      <c r="V15" s="93"/>
      <c r="W15" s="93"/>
      <c r="X15" s="93"/>
      <c r="Y15" s="97">
        <f t="shared" si="2"/>
        <v>4653245.38</v>
      </c>
      <c r="Z15" s="97">
        <f t="shared" si="0"/>
        <v>5765247.73</v>
      </c>
      <c r="AA15" s="97">
        <f t="shared" si="0"/>
        <v>790</v>
      </c>
      <c r="AB15" s="97">
        <f t="shared" si="1"/>
        <v>10419283.11</v>
      </c>
    </row>
    <row r="16" spans="1:28" ht="21">
      <c r="A16" s="95">
        <v>10</v>
      </c>
      <c r="B16" s="93" t="s">
        <v>281</v>
      </c>
      <c r="C16" s="93" t="s">
        <v>284</v>
      </c>
      <c r="D16" s="97">
        <v>22170731.380000003</v>
      </c>
      <c r="E16" s="97">
        <v>4728846.71</v>
      </c>
      <c r="F16" s="97">
        <v>78484.5</v>
      </c>
      <c r="G16" s="97">
        <v>429122</v>
      </c>
      <c r="H16" s="98">
        <v>0</v>
      </c>
      <c r="I16" s="97">
        <v>0</v>
      </c>
      <c r="J16" s="97">
        <v>0</v>
      </c>
      <c r="K16" s="97">
        <v>0</v>
      </c>
      <c r="L16" s="97">
        <v>0</v>
      </c>
      <c r="M16" s="97">
        <v>10000</v>
      </c>
      <c r="N16" s="97">
        <v>3474437.91</v>
      </c>
      <c r="O16" s="97">
        <v>0</v>
      </c>
      <c r="P16" s="97">
        <v>8731208.73</v>
      </c>
      <c r="Q16" s="97">
        <v>1691462.2200000002</v>
      </c>
      <c r="R16" s="97">
        <v>0</v>
      </c>
      <c r="S16" s="97">
        <v>0</v>
      </c>
      <c r="T16" s="97">
        <v>893950</v>
      </c>
      <c r="U16" s="97">
        <v>0</v>
      </c>
      <c r="V16" s="93"/>
      <c r="W16" s="93"/>
      <c r="X16" s="93"/>
      <c r="Y16" s="97">
        <f t="shared" si="2"/>
        <v>31341062.110000003</v>
      </c>
      <c r="Z16" s="97">
        <f t="shared" si="0"/>
        <v>10788696.84</v>
      </c>
      <c r="AA16" s="97">
        <f t="shared" si="0"/>
        <v>78484.5</v>
      </c>
      <c r="AB16" s="97">
        <f t="shared" si="1"/>
        <v>42208243.45</v>
      </c>
    </row>
    <row r="17" spans="1:28" ht="21">
      <c r="A17" s="95">
        <v>11</v>
      </c>
      <c r="B17" s="93" t="s">
        <v>285</v>
      </c>
      <c r="C17" s="93" t="s">
        <v>282</v>
      </c>
      <c r="D17" s="93"/>
      <c r="E17" s="93"/>
      <c r="F17" s="93"/>
      <c r="G17" s="93"/>
      <c r="H17" s="94"/>
      <c r="I17" s="93"/>
      <c r="J17" s="93"/>
      <c r="K17" s="93"/>
      <c r="L17" s="93"/>
      <c r="M17" s="93"/>
      <c r="N17" s="93"/>
      <c r="O17" s="93"/>
      <c r="P17" s="94">
        <v>924243.09</v>
      </c>
      <c r="Q17" s="94">
        <f>519962.36+29716.46</f>
        <v>549678.82</v>
      </c>
      <c r="R17" s="93"/>
      <c r="S17" s="93"/>
      <c r="T17" s="94"/>
      <c r="U17" s="93"/>
      <c r="V17" s="93"/>
      <c r="W17" s="93"/>
      <c r="X17" s="93"/>
      <c r="Y17" s="97">
        <f>D17+G17+J17+M17+P17+S17+V17</f>
        <v>924243.09</v>
      </c>
      <c r="Z17" s="97">
        <f t="shared" si="0"/>
        <v>549678.82</v>
      </c>
      <c r="AA17" s="97">
        <f t="shared" si="0"/>
        <v>0</v>
      </c>
      <c r="AB17" s="97">
        <f t="shared" si="1"/>
        <v>1473921.91</v>
      </c>
    </row>
    <row r="18" spans="1:28" ht="21">
      <c r="A18" s="95">
        <v>12</v>
      </c>
      <c r="B18" s="93" t="s">
        <v>285</v>
      </c>
      <c r="C18" s="93" t="s">
        <v>283</v>
      </c>
      <c r="D18" s="94">
        <v>16113626.73</v>
      </c>
      <c r="E18" s="94">
        <f>485450+5836</f>
        <v>491286</v>
      </c>
      <c r="F18" s="94">
        <v>122161</v>
      </c>
      <c r="G18" s="94"/>
      <c r="H18" s="94">
        <v>7460</v>
      </c>
      <c r="I18" s="93"/>
      <c r="J18" s="94">
        <v>14524</v>
      </c>
      <c r="K18" s="94"/>
      <c r="L18" s="93"/>
      <c r="M18" s="94">
        <v>1752258.76</v>
      </c>
      <c r="N18" s="94">
        <v>191968.49</v>
      </c>
      <c r="O18" s="93"/>
      <c r="P18" s="94">
        <f>6582068.93+1074794.52+721411.68+2+10637.56</f>
        <v>8388914.69</v>
      </c>
      <c r="Q18" s="94">
        <f>351714.15+497828.63+29815.18-17550</f>
        <v>861807.9600000001</v>
      </c>
      <c r="R18" s="93"/>
      <c r="S18" s="94"/>
      <c r="T18" s="94">
        <f>138800</f>
        <v>138800</v>
      </c>
      <c r="U18" s="93"/>
      <c r="V18" s="93"/>
      <c r="W18" s="94">
        <v>226896</v>
      </c>
      <c r="X18" s="93"/>
      <c r="Y18" s="97">
        <f t="shared" si="0"/>
        <v>26269324.18</v>
      </c>
      <c r="Z18" s="97">
        <f t="shared" si="0"/>
        <v>1918218.4500000002</v>
      </c>
      <c r="AA18" s="97">
        <f t="shared" si="0"/>
        <v>122161</v>
      </c>
      <c r="AB18" s="97">
        <f t="shared" si="1"/>
        <v>28309703.63</v>
      </c>
    </row>
    <row r="19" spans="1:28" ht="21">
      <c r="A19" s="95">
        <v>13</v>
      </c>
      <c r="B19" s="93" t="s">
        <v>285</v>
      </c>
      <c r="C19" s="93" t="s">
        <v>286</v>
      </c>
      <c r="D19" s="94">
        <v>5495667.23</v>
      </c>
      <c r="E19" s="94">
        <v>303278</v>
      </c>
      <c r="F19" s="94">
        <v>73650</v>
      </c>
      <c r="G19" s="94">
        <v>43000</v>
      </c>
      <c r="H19" s="94">
        <v>6700</v>
      </c>
      <c r="I19" s="93"/>
      <c r="J19" s="94">
        <v>5476</v>
      </c>
      <c r="K19" s="94">
        <v>8696</v>
      </c>
      <c r="L19" s="93"/>
      <c r="M19" s="94">
        <v>190192.19</v>
      </c>
      <c r="N19" s="94">
        <v>348458.54</v>
      </c>
      <c r="O19" s="93"/>
      <c r="P19" s="94">
        <v>3880429.1</v>
      </c>
      <c r="Q19" s="94">
        <f>101444.86+1063.33</f>
        <v>102508.19</v>
      </c>
      <c r="R19" s="93"/>
      <c r="S19" s="94"/>
      <c r="T19" s="94">
        <f>139500</f>
        <v>139500</v>
      </c>
      <c r="U19" s="93"/>
      <c r="V19" s="93"/>
      <c r="W19" s="94">
        <v>82106</v>
      </c>
      <c r="X19" s="93"/>
      <c r="Y19" s="97">
        <f t="shared" si="0"/>
        <v>9614764.520000001</v>
      </c>
      <c r="Z19" s="97">
        <f t="shared" si="0"/>
        <v>991246.73</v>
      </c>
      <c r="AA19" s="97">
        <f t="shared" si="0"/>
        <v>73650</v>
      </c>
      <c r="AB19" s="97">
        <f t="shared" si="1"/>
        <v>10679661.250000002</v>
      </c>
    </row>
    <row r="20" spans="1:33" ht="21">
      <c r="A20" s="95">
        <v>14</v>
      </c>
      <c r="B20" s="93" t="s">
        <v>285</v>
      </c>
      <c r="C20" s="93" t="s">
        <v>287</v>
      </c>
      <c r="D20" s="94">
        <v>22730701.03</v>
      </c>
      <c r="E20" s="94">
        <f>3810462.94+23983</f>
        <v>3834445.94</v>
      </c>
      <c r="F20" s="94">
        <v>22200</v>
      </c>
      <c r="G20" s="94">
        <v>12607.43</v>
      </c>
      <c r="H20" s="94">
        <v>148390</v>
      </c>
      <c r="I20" s="93"/>
      <c r="J20" s="94"/>
      <c r="K20" s="94">
        <v>136527</v>
      </c>
      <c r="L20" s="93"/>
      <c r="M20" s="94">
        <v>35000.1</v>
      </c>
      <c r="N20" s="94">
        <v>1626019.63</v>
      </c>
      <c r="O20" s="93"/>
      <c r="P20" s="94">
        <f>11154332.28+728413.01</f>
        <v>11882745.29</v>
      </c>
      <c r="Q20" s="94">
        <f>452711.51+18375</f>
        <v>471086.51</v>
      </c>
      <c r="R20" s="93"/>
      <c r="S20" s="94"/>
      <c r="T20" s="94">
        <f>420000</f>
        <v>420000</v>
      </c>
      <c r="U20" s="93"/>
      <c r="V20" s="93"/>
      <c r="W20" s="94">
        <v>616120</v>
      </c>
      <c r="X20" s="93"/>
      <c r="Y20" s="97">
        <f t="shared" si="0"/>
        <v>34661053.85</v>
      </c>
      <c r="Z20" s="97">
        <f t="shared" si="0"/>
        <v>7252589.08</v>
      </c>
      <c r="AA20" s="97">
        <f t="shared" si="0"/>
        <v>22200</v>
      </c>
      <c r="AB20" s="97">
        <f t="shared" si="1"/>
        <v>41935842.93</v>
      </c>
      <c r="AD20" s="89"/>
      <c r="AE20" s="89"/>
      <c r="AF20" s="89"/>
      <c r="AG20" s="89"/>
    </row>
    <row r="21" spans="1:33" ht="21">
      <c r="A21" s="95">
        <v>15</v>
      </c>
      <c r="B21" s="93" t="s">
        <v>288</v>
      </c>
      <c r="C21" s="93" t="s">
        <v>289</v>
      </c>
      <c r="D21" s="94">
        <v>21905411.92</v>
      </c>
      <c r="E21" s="94">
        <v>1118129.04</v>
      </c>
      <c r="F21" s="94">
        <v>270905</v>
      </c>
      <c r="G21" s="94">
        <v>389046</v>
      </c>
      <c r="H21" s="94">
        <v>58450</v>
      </c>
      <c r="I21" s="94"/>
      <c r="J21" s="94">
        <v>61082</v>
      </c>
      <c r="K21" s="94">
        <v>7756</v>
      </c>
      <c r="L21" s="94"/>
      <c r="M21" s="94">
        <v>1596380.23</v>
      </c>
      <c r="N21" s="94">
        <v>876543.5</v>
      </c>
      <c r="O21" s="94"/>
      <c r="P21" s="94">
        <v>4958181.35</v>
      </c>
      <c r="Q21" s="94">
        <v>384707.24</v>
      </c>
      <c r="R21" s="94"/>
      <c r="S21" s="94"/>
      <c r="T21" s="94">
        <v>1437680</v>
      </c>
      <c r="U21" s="94"/>
      <c r="V21" s="94"/>
      <c r="W21" s="94">
        <v>185000</v>
      </c>
      <c r="X21" s="93"/>
      <c r="Y21" s="97">
        <f t="shared" si="0"/>
        <v>28910101.5</v>
      </c>
      <c r="Z21" s="97">
        <f t="shared" si="0"/>
        <v>4068265.7800000003</v>
      </c>
      <c r="AA21" s="97">
        <f t="shared" si="0"/>
        <v>270905</v>
      </c>
      <c r="AB21" s="97">
        <f t="shared" si="1"/>
        <v>33249272.28</v>
      </c>
      <c r="AD21" s="89"/>
      <c r="AE21" s="89"/>
      <c r="AF21" s="89"/>
      <c r="AG21" s="89"/>
    </row>
    <row r="22" spans="1:33" ht="21">
      <c r="A22" s="95">
        <v>16</v>
      </c>
      <c r="B22" s="93" t="s">
        <v>288</v>
      </c>
      <c r="C22" s="93" t="s">
        <v>196</v>
      </c>
      <c r="D22" s="94">
        <v>8749275.65</v>
      </c>
      <c r="E22" s="94">
        <v>1723249.81</v>
      </c>
      <c r="F22" s="94">
        <v>94980</v>
      </c>
      <c r="G22" s="94">
        <v>64800</v>
      </c>
      <c r="H22" s="94">
        <v>145264</v>
      </c>
      <c r="I22" s="94"/>
      <c r="J22" s="94"/>
      <c r="K22" s="94">
        <v>48911.99</v>
      </c>
      <c r="L22" s="94"/>
      <c r="M22" s="94">
        <v>27992</v>
      </c>
      <c r="N22" s="94">
        <v>523840.34</v>
      </c>
      <c r="O22" s="94"/>
      <c r="P22" s="94">
        <v>2261108.97</v>
      </c>
      <c r="Q22" s="94">
        <v>27764.2</v>
      </c>
      <c r="R22" s="94"/>
      <c r="S22" s="94"/>
      <c r="T22" s="94">
        <v>472460</v>
      </c>
      <c r="U22" s="94"/>
      <c r="V22" s="94"/>
      <c r="W22" s="94">
        <v>140000</v>
      </c>
      <c r="X22" s="93"/>
      <c r="Y22" s="97">
        <f t="shared" si="0"/>
        <v>11103176.620000001</v>
      </c>
      <c r="Z22" s="97">
        <f t="shared" si="0"/>
        <v>3081490.3400000003</v>
      </c>
      <c r="AA22" s="97">
        <f t="shared" si="0"/>
        <v>94980</v>
      </c>
      <c r="AB22" s="97">
        <f t="shared" si="1"/>
        <v>14279646.96</v>
      </c>
      <c r="AD22" s="89"/>
      <c r="AE22" s="89"/>
      <c r="AF22" s="89"/>
      <c r="AG22" s="89"/>
    </row>
    <row r="23" spans="1:33" ht="21.75" thickBot="1">
      <c r="A23" s="99">
        <v>17</v>
      </c>
      <c r="B23" s="100" t="s">
        <v>288</v>
      </c>
      <c r="C23" s="100" t="s">
        <v>290</v>
      </c>
      <c r="D23" s="101">
        <v>16636046.87</v>
      </c>
      <c r="E23" s="101">
        <v>1947440</v>
      </c>
      <c r="F23" s="101">
        <v>5000</v>
      </c>
      <c r="G23" s="101"/>
      <c r="H23" s="101">
        <v>304950</v>
      </c>
      <c r="I23" s="101"/>
      <c r="J23" s="101">
        <v>56574.62</v>
      </c>
      <c r="K23" s="101">
        <v>90673.76</v>
      </c>
      <c r="L23" s="101"/>
      <c r="M23" s="101">
        <v>407198</v>
      </c>
      <c r="N23" s="101">
        <v>1091968.04</v>
      </c>
      <c r="O23" s="101"/>
      <c r="P23" s="101">
        <v>2996118.51</v>
      </c>
      <c r="Q23" s="101">
        <v>657230.75</v>
      </c>
      <c r="R23" s="101"/>
      <c r="S23" s="101"/>
      <c r="T23" s="101">
        <v>831360</v>
      </c>
      <c r="U23" s="101"/>
      <c r="V23" s="101"/>
      <c r="W23" s="101">
        <v>230000</v>
      </c>
      <c r="X23" s="100"/>
      <c r="Y23" s="97">
        <f>D23+G23+J23+M23+P23+S23+V23</f>
        <v>20095938</v>
      </c>
      <c r="Z23" s="97">
        <f>E23+H23+K23+N23+Q23+T23+W23</f>
        <v>5153622.55</v>
      </c>
      <c r="AA23" s="97">
        <f>F23+I23+L23+O23+R23+U23+X23</f>
        <v>5000</v>
      </c>
      <c r="AB23" s="97">
        <f t="shared" si="1"/>
        <v>25254560.55</v>
      </c>
      <c r="AD23" s="102"/>
      <c r="AE23" s="102"/>
      <c r="AF23" s="102"/>
      <c r="AG23" s="102"/>
    </row>
    <row r="24" spans="1:33" ht="21.75" thickBot="1">
      <c r="A24" s="275" t="s">
        <v>291</v>
      </c>
      <c r="B24" s="276"/>
      <c r="C24" s="277"/>
      <c r="D24" s="103">
        <f>SUM(D7:D23)</f>
        <v>313304754.48999995</v>
      </c>
      <c r="E24" s="103">
        <f aca="true" t="shared" si="3" ref="E24:AB24">SUM(E7:E23)</f>
        <v>39339900.79</v>
      </c>
      <c r="F24" s="103">
        <f t="shared" si="3"/>
        <v>1636633.1</v>
      </c>
      <c r="G24" s="103">
        <f t="shared" si="3"/>
        <v>3031009.43</v>
      </c>
      <c r="H24" s="103">
        <f t="shared" si="3"/>
        <v>3806679</v>
      </c>
      <c r="I24" s="103">
        <f t="shared" si="3"/>
        <v>0</v>
      </c>
      <c r="J24" s="103">
        <f t="shared" si="3"/>
        <v>266859.42</v>
      </c>
      <c r="K24" s="103">
        <f t="shared" si="3"/>
        <v>885284.44</v>
      </c>
      <c r="L24" s="103">
        <f t="shared" si="3"/>
        <v>0</v>
      </c>
      <c r="M24" s="103">
        <f t="shared" si="3"/>
        <v>23727038.940000005</v>
      </c>
      <c r="N24" s="103">
        <f t="shared" si="3"/>
        <v>56196425.32000002</v>
      </c>
      <c r="O24" s="103">
        <f t="shared" si="3"/>
        <v>0</v>
      </c>
      <c r="P24" s="103">
        <f t="shared" si="3"/>
        <v>173254488.67999995</v>
      </c>
      <c r="Q24" s="103">
        <f t="shared" si="3"/>
        <v>23891083.68</v>
      </c>
      <c r="R24" s="103">
        <f t="shared" si="3"/>
        <v>0</v>
      </c>
      <c r="S24" s="103">
        <f t="shared" si="3"/>
        <v>0</v>
      </c>
      <c r="T24" s="103">
        <f t="shared" si="3"/>
        <v>6959754</v>
      </c>
      <c r="U24" s="103">
        <f t="shared" si="3"/>
        <v>0</v>
      </c>
      <c r="V24" s="103">
        <f t="shared" si="3"/>
        <v>52596</v>
      </c>
      <c r="W24" s="103">
        <f t="shared" si="3"/>
        <v>6644152</v>
      </c>
      <c r="X24" s="103">
        <f t="shared" si="3"/>
        <v>0</v>
      </c>
      <c r="Y24" s="103">
        <f>SUM(Y7:Y23)</f>
        <v>513636746.96</v>
      </c>
      <c r="Z24" s="103">
        <f>SUM(Z7:Z23)</f>
        <v>137723279.23000002</v>
      </c>
      <c r="AA24" s="103">
        <f>SUM(AA7:AA23)</f>
        <v>1636633.1</v>
      </c>
      <c r="AB24" s="103">
        <f t="shared" si="3"/>
        <v>652996659.29</v>
      </c>
      <c r="AD24" s="102"/>
      <c r="AE24" s="102"/>
      <c r="AF24" s="102"/>
      <c r="AG24" s="102"/>
    </row>
    <row r="25" spans="1:33" ht="21">
      <c r="A25" s="259" t="s">
        <v>292</v>
      </c>
      <c r="B25" s="259"/>
      <c r="C25" s="259"/>
      <c r="D25" s="104"/>
      <c r="E25" s="104"/>
      <c r="F25" s="104"/>
      <c r="G25" s="104"/>
      <c r="H25" s="105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D25" s="102"/>
      <c r="AE25" s="102"/>
      <c r="AF25" s="102"/>
      <c r="AG25" s="102"/>
    </row>
    <row r="26" spans="1:30" ht="21">
      <c r="A26" s="95">
        <v>18</v>
      </c>
      <c r="B26" s="93" t="s">
        <v>293</v>
      </c>
      <c r="C26" s="106" t="s">
        <v>294</v>
      </c>
      <c r="D26" s="94">
        <v>262037339.09</v>
      </c>
      <c r="E26" s="94">
        <v>11588183.85</v>
      </c>
      <c r="F26" s="94">
        <v>10301779.93</v>
      </c>
      <c r="G26" s="94">
        <v>496647.49</v>
      </c>
      <c r="H26" s="94">
        <v>11500674.67</v>
      </c>
      <c r="I26" s="94">
        <v>0</v>
      </c>
      <c r="J26" s="94">
        <v>773403.4</v>
      </c>
      <c r="K26" s="94">
        <v>24434</v>
      </c>
      <c r="L26" s="94">
        <v>0</v>
      </c>
      <c r="M26" s="94">
        <v>36286144.22</v>
      </c>
      <c r="N26" s="94">
        <v>30480422.889999997</v>
      </c>
      <c r="O26" s="94">
        <v>0</v>
      </c>
      <c r="P26" s="94">
        <v>17694687.24</v>
      </c>
      <c r="Q26" s="94">
        <v>9141978.040000001</v>
      </c>
      <c r="R26" s="94">
        <v>0</v>
      </c>
      <c r="S26" s="94">
        <v>0</v>
      </c>
      <c r="T26" s="94">
        <v>0</v>
      </c>
      <c r="U26" s="94">
        <v>0</v>
      </c>
      <c r="V26" s="94">
        <v>7579856.89</v>
      </c>
      <c r="W26" s="94">
        <v>2808990</v>
      </c>
      <c r="X26" s="94">
        <v>0</v>
      </c>
      <c r="Y26" s="97">
        <f aca="true" t="shared" si="4" ref="Y26:AA32">D26+G26+J26+M26+P26+S26+V26</f>
        <v>324868078.33000004</v>
      </c>
      <c r="Z26" s="97">
        <f t="shared" si="4"/>
        <v>65544683.449999996</v>
      </c>
      <c r="AA26" s="97">
        <f t="shared" si="4"/>
        <v>10301779.93</v>
      </c>
      <c r="AB26" s="97">
        <f aca="true" t="shared" si="5" ref="AB26:AB32">Y26+Z26+AA26</f>
        <v>400714541.71000004</v>
      </c>
      <c r="AD26" s="102"/>
    </row>
    <row r="27" spans="1:28" ht="21">
      <c r="A27" s="95">
        <v>19</v>
      </c>
      <c r="B27" s="93" t="s">
        <v>276</v>
      </c>
      <c r="C27" s="106" t="s">
        <v>295</v>
      </c>
      <c r="D27" s="107">
        <v>80869.04000000001</v>
      </c>
      <c r="E27" s="108">
        <v>5521187.38</v>
      </c>
      <c r="F27" s="108"/>
      <c r="G27" s="108">
        <v>248475.8</v>
      </c>
      <c r="H27" s="108">
        <v>1833678.3900000001</v>
      </c>
      <c r="I27" s="108"/>
      <c r="J27" s="108"/>
      <c r="K27" s="108"/>
      <c r="L27" s="108"/>
      <c r="M27" s="108">
        <v>3328746.11</v>
      </c>
      <c r="N27" s="108">
        <v>7800612.819999999</v>
      </c>
      <c r="O27" s="108"/>
      <c r="P27" s="108">
        <v>0</v>
      </c>
      <c r="Q27" s="108">
        <v>0</v>
      </c>
      <c r="R27" s="108"/>
      <c r="S27" s="108"/>
      <c r="T27" s="108"/>
      <c r="U27" s="108"/>
      <c r="V27" s="108">
        <v>4494</v>
      </c>
      <c r="W27" s="109">
        <v>4249937.35</v>
      </c>
      <c r="X27" s="108"/>
      <c r="Y27" s="97">
        <f>D27+G27+J27+M27+P27+S27+V27</f>
        <v>3662584.9499999997</v>
      </c>
      <c r="Z27" s="97">
        <f t="shared" si="4"/>
        <v>19405415.939999998</v>
      </c>
      <c r="AA27" s="97">
        <f t="shared" si="4"/>
        <v>0</v>
      </c>
      <c r="AB27" s="97">
        <f t="shared" si="5"/>
        <v>23068000.889999997</v>
      </c>
    </row>
    <row r="28" spans="1:28" ht="21">
      <c r="A28" s="95">
        <v>20</v>
      </c>
      <c r="B28" s="93" t="s">
        <v>281</v>
      </c>
      <c r="C28" s="106" t="s">
        <v>296</v>
      </c>
      <c r="D28" s="97">
        <v>4893844.38</v>
      </c>
      <c r="E28" s="97">
        <v>2781346.58</v>
      </c>
      <c r="F28" s="97">
        <v>15400</v>
      </c>
      <c r="G28" s="97">
        <v>0</v>
      </c>
      <c r="H28" s="98">
        <v>0</v>
      </c>
      <c r="I28" s="97">
        <v>0</v>
      </c>
      <c r="J28" s="97">
        <v>0</v>
      </c>
      <c r="K28" s="97">
        <v>4428</v>
      </c>
      <c r="L28" s="97">
        <v>0</v>
      </c>
      <c r="M28" s="97">
        <v>1098590.39</v>
      </c>
      <c r="N28" s="97">
        <v>4877484.25</v>
      </c>
      <c r="O28" s="97">
        <v>0</v>
      </c>
      <c r="P28" s="97">
        <v>8886165.58</v>
      </c>
      <c r="Q28" s="97">
        <v>5968788.710000001</v>
      </c>
      <c r="R28" s="97">
        <v>0</v>
      </c>
      <c r="S28" s="97">
        <v>0</v>
      </c>
      <c r="T28" s="97">
        <v>0</v>
      </c>
      <c r="U28" s="97">
        <v>0</v>
      </c>
      <c r="V28" s="93"/>
      <c r="W28" s="93"/>
      <c r="X28" s="93"/>
      <c r="Y28" s="97">
        <f t="shared" si="4"/>
        <v>14878600.35</v>
      </c>
      <c r="Z28" s="97">
        <f t="shared" si="4"/>
        <v>13632047.540000001</v>
      </c>
      <c r="AA28" s="97">
        <f t="shared" si="4"/>
        <v>15400</v>
      </c>
      <c r="AB28" s="97">
        <f t="shared" si="5"/>
        <v>28526047.89</v>
      </c>
    </row>
    <row r="29" spans="1:28" ht="21">
      <c r="A29" s="95">
        <v>21</v>
      </c>
      <c r="B29" s="93" t="s">
        <v>285</v>
      </c>
      <c r="C29" s="106" t="s">
        <v>297</v>
      </c>
      <c r="D29" s="94">
        <v>7387514.77</v>
      </c>
      <c r="E29" s="94">
        <f>1292621.3+3700</f>
        <v>1296321.3</v>
      </c>
      <c r="F29" s="94">
        <v>28025</v>
      </c>
      <c r="G29" s="93"/>
      <c r="H29" s="94">
        <v>19862.4</v>
      </c>
      <c r="I29" s="93"/>
      <c r="J29" s="94">
        <v>50589</v>
      </c>
      <c r="K29" s="94">
        <v>11880</v>
      </c>
      <c r="L29" s="93"/>
      <c r="M29" s="94">
        <v>1739597.99</v>
      </c>
      <c r="N29" s="94">
        <v>1010584.99</v>
      </c>
      <c r="O29" s="93"/>
      <c r="P29" s="94">
        <v>13675823.02</v>
      </c>
      <c r="Q29" s="94">
        <f>2078043.84+107513.33+203436.13</f>
        <v>2388993.3</v>
      </c>
      <c r="R29" s="93"/>
      <c r="S29" s="93"/>
      <c r="T29" s="93"/>
      <c r="U29" s="93"/>
      <c r="V29" s="93"/>
      <c r="W29" s="93"/>
      <c r="X29" s="93"/>
      <c r="Y29" s="97">
        <f t="shared" si="4"/>
        <v>22853524.78</v>
      </c>
      <c r="Z29" s="97">
        <f t="shared" si="4"/>
        <v>4727641.99</v>
      </c>
      <c r="AA29" s="97">
        <f t="shared" si="4"/>
        <v>28025</v>
      </c>
      <c r="AB29" s="97">
        <f t="shared" si="5"/>
        <v>27609191.770000003</v>
      </c>
    </row>
    <row r="30" spans="1:28" ht="21">
      <c r="A30" s="95">
        <v>22</v>
      </c>
      <c r="B30" s="93" t="s">
        <v>288</v>
      </c>
      <c r="C30" s="106" t="s">
        <v>298</v>
      </c>
      <c r="D30" s="94">
        <v>10996625.11</v>
      </c>
      <c r="E30" s="94">
        <v>2757155.29</v>
      </c>
      <c r="F30" s="94">
        <v>27362</v>
      </c>
      <c r="G30" s="94">
        <v>20000</v>
      </c>
      <c r="H30" s="94">
        <v>35800</v>
      </c>
      <c r="I30" s="94"/>
      <c r="J30" s="94">
        <v>62537.6</v>
      </c>
      <c r="K30" s="94">
        <v>15000</v>
      </c>
      <c r="L30" s="94"/>
      <c r="M30" s="94">
        <v>2893046.2</v>
      </c>
      <c r="N30" s="94">
        <v>3247427.44</v>
      </c>
      <c r="O30" s="94"/>
      <c r="P30" s="94">
        <v>44253555.37</v>
      </c>
      <c r="Q30" s="94">
        <v>11028911.22</v>
      </c>
      <c r="R30" s="94"/>
      <c r="S30" s="94"/>
      <c r="T30" s="94"/>
      <c r="U30" s="94"/>
      <c r="V30" s="94"/>
      <c r="W30" s="94"/>
      <c r="X30" s="93"/>
      <c r="Y30" s="97">
        <f t="shared" si="4"/>
        <v>58225764.28</v>
      </c>
      <c r="Z30" s="97">
        <f t="shared" si="4"/>
        <v>17084293.950000003</v>
      </c>
      <c r="AA30" s="97">
        <f t="shared" si="4"/>
        <v>27362</v>
      </c>
      <c r="AB30" s="97">
        <f t="shared" si="5"/>
        <v>75337420.23</v>
      </c>
    </row>
    <row r="31" spans="1:28" ht="21">
      <c r="A31" s="95">
        <v>23</v>
      </c>
      <c r="B31" s="93" t="s">
        <v>288</v>
      </c>
      <c r="C31" s="106" t="s">
        <v>299</v>
      </c>
      <c r="D31" s="94">
        <v>3036280.64</v>
      </c>
      <c r="E31" s="94">
        <v>324104</v>
      </c>
      <c r="F31" s="94">
        <v>3300</v>
      </c>
      <c r="G31" s="94"/>
      <c r="H31" s="94">
        <v>542667.4</v>
      </c>
      <c r="I31" s="94"/>
      <c r="J31" s="94">
        <v>43125</v>
      </c>
      <c r="K31" s="94"/>
      <c r="L31" s="94"/>
      <c r="M31" s="94">
        <v>936749</v>
      </c>
      <c r="N31" s="94">
        <v>496795.15</v>
      </c>
      <c r="O31" s="94"/>
      <c r="P31" s="94">
        <v>63430.37</v>
      </c>
      <c r="Q31" s="94">
        <v>205234.05</v>
      </c>
      <c r="R31" s="94"/>
      <c r="S31" s="94"/>
      <c r="T31" s="94"/>
      <c r="U31" s="94"/>
      <c r="V31" s="94"/>
      <c r="W31" s="94">
        <v>3281979.13</v>
      </c>
      <c r="X31" s="93"/>
      <c r="Y31" s="97">
        <f t="shared" si="4"/>
        <v>4079585.0100000002</v>
      </c>
      <c r="Z31" s="97">
        <f t="shared" si="4"/>
        <v>4850779.73</v>
      </c>
      <c r="AA31" s="97">
        <f t="shared" si="4"/>
        <v>3300</v>
      </c>
      <c r="AB31" s="97">
        <f t="shared" si="5"/>
        <v>8933664.74</v>
      </c>
    </row>
    <row r="32" spans="1:28" ht="21.75" thickBot="1">
      <c r="A32" s="95">
        <v>24</v>
      </c>
      <c r="B32" s="93" t="s">
        <v>288</v>
      </c>
      <c r="C32" s="106" t="s">
        <v>300</v>
      </c>
      <c r="D32" s="94">
        <v>5010873.09</v>
      </c>
      <c r="E32" s="94">
        <v>268532.26</v>
      </c>
      <c r="F32" s="94"/>
      <c r="G32" s="94"/>
      <c r="H32" s="94"/>
      <c r="I32" s="94"/>
      <c r="J32" s="94"/>
      <c r="K32" s="94">
        <v>23900</v>
      </c>
      <c r="L32" s="94"/>
      <c r="M32" s="94">
        <v>93000</v>
      </c>
      <c r="N32" s="94">
        <v>2071735.6</v>
      </c>
      <c r="O32" s="94"/>
      <c r="P32" s="94">
        <v>1251440.76</v>
      </c>
      <c r="Q32" s="94">
        <v>82280.66</v>
      </c>
      <c r="R32" s="94"/>
      <c r="S32" s="94"/>
      <c r="T32" s="94"/>
      <c r="U32" s="94"/>
      <c r="V32" s="94"/>
      <c r="W32" s="94"/>
      <c r="X32" s="93"/>
      <c r="Y32" s="97">
        <f t="shared" si="4"/>
        <v>6355313.85</v>
      </c>
      <c r="Z32" s="97">
        <f t="shared" si="4"/>
        <v>2446448.5200000005</v>
      </c>
      <c r="AA32" s="97">
        <f t="shared" si="4"/>
        <v>0</v>
      </c>
      <c r="AB32" s="97">
        <f t="shared" si="5"/>
        <v>8801762.370000001</v>
      </c>
    </row>
    <row r="33" spans="1:28" ht="21.75" thickBot="1">
      <c r="A33" s="260" t="s">
        <v>14</v>
      </c>
      <c r="B33" s="261"/>
      <c r="C33" s="262"/>
      <c r="D33" s="110">
        <f aca="true" t="shared" si="6" ref="D33:AB33">SUM(D26:D32)</f>
        <v>293443346.11999995</v>
      </c>
      <c r="E33" s="110">
        <f t="shared" si="6"/>
        <v>24536830.660000004</v>
      </c>
      <c r="F33" s="110">
        <f>SUM(F26:F32)</f>
        <v>10375866.93</v>
      </c>
      <c r="G33" s="110">
        <f t="shared" si="6"/>
        <v>765123.29</v>
      </c>
      <c r="H33" s="110">
        <f t="shared" si="6"/>
        <v>13932682.860000001</v>
      </c>
      <c r="I33" s="110">
        <f t="shared" si="6"/>
        <v>0</v>
      </c>
      <c r="J33" s="110">
        <f t="shared" si="6"/>
        <v>929655</v>
      </c>
      <c r="K33" s="110">
        <f t="shared" si="6"/>
        <v>79642</v>
      </c>
      <c r="L33" s="110">
        <f t="shared" si="6"/>
        <v>0</v>
      </c>
      <c r="M33" s="110">
        <f t="shared" si="6"/>
        <v>46375873.910000004</v>
      </c>
      <c r="N33" s="110">
        <f t="shared" si="6"/>
        <v>49985063.13999999</v>
      </c>
      <c r="O33" s="110">
        <f t="shared" si="6"/>
        <v>0</v>
      </c>
      <c r="P33" s="110">
        <f t="shared" si="6"/>
        <v>85825102.34000002</v>
      </c>
      <c r="Q33" s="110">
        <f t="shared" si="6"/>
        <v>28816185.980000004</v>
      </c>
      <c r="R33" s="110">
        <f t="shared" si="6"/>
        <v>0</v>
      </c>
      <c r="S33" s="110">
        <f t="shared" si="6"/>
        <v>0</v>
      </c>
      <c r="T33" s="110">
        <f t="shared" si="6"/>
        <v>0</v>
      </c>
      <c r="U33" s="110">
        <f t="shared" si="6"/>
        <v>0</v>
      </c>
      <c r="V33" s="110">
        <f t="shared" si="6"/>
        <v>7584350.89</v>
      </c>
      <c r="W33" s="110">
        <f t="shared" si="6"/>
        <v>10340906.48</v>
      </c>
      <c r="X33" s="110">
        <f t="shared" si="6"/>
        <v>0</v>
      </c>
      <c r="Y33" s="110">
        <f t="shared" si="6"/>
        <v>434923451.5500001</v>
      </c>
      <c r="Z33" s="110">
        <f t="shared" si="6"/>
        <v>127691311.11999999</v>
      </c>
      <c r="AA33" s="110">
        <f t="shared" si="6"/>
        <v>10375866.93</v>
      </c>
      <c r="AB33" s="110">
        <f t="shared" si="6"/>
        <v>572990629.6</v>
      </c>
    </row>
    <row r="34" spans="1:28" ht="22.5" thickBot="1" thickTop="1">
      <c r="A34" s="263" t="s">
        <v>301</v>
      </c>
      <c r="B34" s="264"/>
      <c r="C34" s="265"/>
      <c r="D34" s="111">
        <f aca="true" t="shared" si="7" ref="D34:AB34">D33+D24</f>
        <v>606748100.6099999</v>
      </c>
      <c r="E34" s="111">
        <f t="shared" si="7"/>
        <v>63876731.45</v>
      </c>
      <c r="F34" s="111">
        <f>F33+F24</f>
        <v>12012500.03</v>
      </c>
      <c r="G34" s="111">
        <f t="shared" si="7"/>
        <v>3796132.72</v>
      </c>
      <c r="H34" s="112">
        <f t="shared" si="7"/>
        <v>17739361.86</v>
      </c>
      <c r="I34" s="111">
        <f t="shared" si="7"/>
        <v>0</v>
      </c>
      <c r="J34" s="111">
        <f t="shared" si="7"/>
        <v>1196514.42</v>
      </c>
      <c r="K34" s="111">
        <f t="shared" si="7"/>
        <v>964926.44</v>
      </c>
      <c r="L34" s="111">
        <f t="shared" si="7"/>
        <v>0</v>
      </c>
      <c r="M34" s="111">
        <f t="shared" si="7"/>
        <v>70102912.85000001</v>
      </c>
      <c r="N34" s="111">
        <f t="shared" si="7"/>
        <v>106181488.46000001</v>
      </c>
      <c r="O34" s="111">
        <f t="shared" si="7"/>
        <v>0</v>
      </c>
      <c r="P34" s="111">
        <f t="shared" si="7"/>
        <v>259079591.01999998</v>
      </c>
      <c r="Q34" s="111">
        <f t="shared" si="7"/>
        <v>52707269.660000004</v>
      </c>
      <c r="R34" s="111">
        <f t="shared" si="7"/>
        <v>0</v>
      </c>
      <c r="S34" s="111">
        <f t="shared" si="7"/>
        <v>0</v>
      </c>
      <c r="T34" s="111">
        <f t="shared" si="7"/>
        <v>6959754</v>
      </c>
      <c r="U34" s="111">
        <f t="shared" si="7"/>
        <v>0</v>
      </c>
      <c r="V34" s="111">
        <f t="shared" si="7"/>
        <v>7636946.89</v>
      </c>
      <c r="W34" s="111">
        <f t="shared" si="7"/>
        <v>16985058.48</v>
      </c>
      <c r="X34" s="111">
        <f t="shared" si="7"/>
        <v>0</v>
      </c>
      <c r="Y34" s="111">
        <f t="shared" si="7"/>
        <v>948560198.51</v>
      </c>
      <c r="Z34" s="111">
        <f t="shared" si="7"/>
        <v>265414590.35000002</v>
      </c>
      <c r="AA34" s="111">
        <f t="shared" si="7"/>
        <v>12012500.03</v>
      </c>
      <c r="AB34" s="111">
        <f t="shared" si="7"/>
        <v>1225987288.8899999</v>
      </c>
    </row>
    <row r="35" spans="1:28" ht="21.75" thickTop="1">
      <c r="A35" s="259" t="s">
        <v>302</v>
      </c>
      <c r="B35" s="259"/>
      <c r="C35" s="259"/>
      <c r="D35" s="104"/>
      <c r="E35" s="104"/>
      <c r="F35" s="104"/>
      <c r="G35" s="104"/>
      <c r="H35" s="105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s="69" customFormat="1" ht="21">
      <c r="A36" s="113">
        <v>25</v>
      </c>
      <c r="B36" s="93" t="s">
        <v>293</v>
      </c>
      <c r="C36" s="114" t="s">
        <v>303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>
        <v>3457309.2800000003</v>
      </c>
      <c r="O36" s="115"/>
      <c r="P36" s="115">
        <v>365324.4</v>
      </c>
      <c r="Q36" s="115">
        <v>6385.7</v>
      </c>
      <c r="R36" s="115"/>
      <c r="S36" s="115"/>
      <c r="T36" s="115"/>
      <c r="U36" s="115"/>
      <c r="V36" s="115"/>
      <c r="W36" s="115"/>
      <c r="X36" s="115"/>
      <c r="Y36" s="97">
        <f>D36+G36+J36+M36+P36+S36+V36</f>
        <v>365324.4</v>
      </c>
      <c r="Z36" s="97">
        <f>E36+H36+K36+N36+Q36+T36+W36</f>
        <v>3463694.9800000004</v>
      </c>
      <c r="AA36" s="97">
        <f>F36+I36+L36+O36+R36+U36+X36</f>
        <v>0</v>
      </c>
      <c r="AB36" s="97">
        <f>Y36+Z36+AA36</f>
        <v>3829019.3800000004</v>
      </c>
    </row>
    <row r="37" spans="1:28" s="69" customFormat="1" ht="21">
      <c r="A37" s="113">
        <v>26</v>
      </c>
      <c r="B37" s="93" t="s">
        <v>279</v>
      </c>
      <c r="C37" s="116" t="s">
        <v>304</v>
      </c>
      <c r="D37" s="117"/>
      <c r="E37" s="117">
        <v>355170.34</v>
      </c>
      <c r="F37" s="117"/>
      <c r="G37" s="117"/>
      <c r="H37" s="117"/>
      <c r="I37" s="117"/>
      <c r="J37" s="117"/>
      <c r="K37" s="117"/>
      <c r="L37" s="117"/>
      <c r="M37" s="117"/>
      <c r="N37" s="117">
        <v>19645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97">
        <f aca="true" t="shared" si="8" ref="Y37:AA46">D37+G37+J37+M37+P37+S37+V37</f>
        <v>0</v>
      </c>
      <c r="Z37" s="97">
        <f t="shared" si="8"/>
        <v>374815.34</v>
      </c>
      <c r="AA37" s="97">
        <f t="shared" si="8"/>
        <v>0</v>
      </c>
      <c r="AB37" s="97">
        <f aca="true" t="shared" si="9" ref="AB37:AB46">Y37+Z37+AA37</f>
        <v>374815.34</v>
      </c>
    </row>
    <row r="38" spans="1:28" s="69" customFormat="1" ht="21">
      <c r="A38" s="80">
        <v>27</v>
      </c>
      <c r="B38" s="93" t="s">
        <v>281</v>
      </c>
      <c r="C38" s="116" t="s">
        <v>305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43879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/>
      <c r="W38" s="117"/>
      <c r="X38" s="117"/>
      <c r="Y38" s="97">
        <f t="shared" si="8"/>
        <v>0</v>
      </c>
      <c r="Z38" s="97">
        <f t="shared" si="8"/>
        <v>43879</v>
      </c>
      <c r="AA38" s="97">
        <f t="shared" si="8"/>
        <v>0</v>
      </c>
      <c r="AB38" s="97">
        <f t="shared" si="9"/>
        <v>43879</v>
      </c>
    </row>
    <row r="39" spans="1:28" s="69" customFormat="1" ht="21">
      <c r="A39" s="80">
        <v>28</v>
      </c>
      <c r="B39" s="93" t="s">
        <v>281</v>
      </c>
      <c r="C39" s="116" t="s">
        <v>306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568223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/>
      <c r="W39" s="117"/>
      <c r="X39" s="117"/>
      <c r="Y39" s="97">
        <f t="shared" si="8"/>
        <v>0</v>
      </c>
      <c r="Z39" s="97">
        <f t="shared" si="8"/>
        <v>568223</v>
      </c>
      <c r="AA39" s="97">
        <f t="shared" si="8"/>
        <v>0</v>
      </c>
      <c r="AB39" s="97">
        <f t="shared" si="9"/>
        <v>568223</v>
      </c>
    </row>
    <row r="40" spans="1:28" s="69" customFormat="1" ht="21">
      <c r="A40" s="80">
        <v>29</v>
      </c>
      <c r="B40" s="93" t="s">
        <v>281</v>
      </c>
      <c r="C40" s="116" t="s">
        <v>304</v>
      </c>
      <c r="D40" s="117">
        <v>0</v>
      </c>
      <c r="E40" s="117">
        <v>171675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209274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/>
      <c r="W40" s="117"/>
      <c r="X40" s="117"/>
      <c r="Y40" s="97">
        <f t="shared" si="8"/>
        <v>0</v>
      </c>
      <c r="Z40" s="97">
        <f t="shared" si="8"/>
        <v>380949</v>
      </c>
      <c r="AA40" s="97">
        <f t="shared" si="8"/>
        <v>0</v>
      </c>
      <c r="AB40" s="97">
        <f t="shared" si="9"/>
        <v>380949</v>
      </c>
    </row>
    <row r="41" spans="1:28" ht="21">
      <c r="A41" s="95">
        <v>30</v>
      </c>
      <c r="B41" s="93" t="s">
        <v>285</v>
      </c>
      <c r="C41" s="93" t="s">
        <v>307</v>
      </c>
      <c r="D41" s="93"/>
      <c r="E41" s="94">
        <v>2829056.84</v>
      </c>
      <c r="F41" s="93"/>
      <c r="G41" s="93"/>
      <c r="H41" s="94"/>
      <c r="I41" s="93"/>
      <c r="J41" s="93"/>
      <c r="K41" s="93"/>
      <c r="L41" s="93"/>
      <c r="M41" s="93"/>
      <c r="N41" s="94">
        <v>2775643.72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7">
        <f t="shared" si="8"/>
        <v>0</v>
      </c>
      <c r="Z41" s="97">
        <f t="shared" si="8"/>
        <v>5604700.5600000005</v>
      </c>
      <c r="AA41" s="97">
        <f t="shared" si="8"/>
        <v>0</v>
      </c>
      <c r="AB41" s="97">
        <f t="shared" si="9"/>
        <v>5604700.5600000005</v>
      </c>
    </row>
    <row r="42" spans="1:28" ht="21">
      <c r="A42" s="95">
        <v>31</v>
      </c>
      <c r="B42" s="93" t="s">
        <v>285</v>
      </c>
      <c r="C42" s="93" t="s">
        <v>308</v>
      </c>
      <c r="D42" s="93"/>
      <c r="E42" s="94">
        <v>1547999.62</v>
      </c>
      <c r="F42" s="93"/>
      <c r="G42" s="93"/>
      <c r="H42" s="94"/>
      <c r="I42" s="93"/>
      <c r="J42" s="93"/>
      <c r="K42" s="93"/>
      <c r="L42" s="93"/>
      <c r="M42" s="93"/>
      <c r="N42" s="94">
        <v>7073307.55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7">
        <f t="shared" si="8"/>
        <v>0</v>
      </c>
      <c r="Z42" s="97">
        <f t="shared" si="8"/>
        <v>8621307.17</v>
      </c>
      <c r="AA42" s="97">
        <f t="shared" si="8"/>
        <v>0</v>
      </c>
      <c r="AB42" s="97">
        <f t="shared" si="9"/>
        <v>8621307.17</v>
      </c>
    </row>
    <row r="43" spans="1:28" ht="21">
      <c r="A43" s="95">
        <v>32</v>
      </c>
      <c r="B43" s="93" t="s">
        <v>285</v>
      </c>
      <c r="C43" s="93" t="s">
        <v>304</v>
      </c>
      <c r="D43" s="93"/>
      <c r="E43" s="94">
        <v>404074</v>
      </c>
      <c r="F43" s="93"/>
      <c r="G43" s="93"/>
      <c r="H43" s="94"/>
      <c r="I43" s="93"/>
      <c r="J43" s="93"/>
      <c r="K43" s="93"/>
      <c r="L43" s="93"/>
      <c r="M43" s="93"/>
      <c r="N43" s="94">
        <v>356439.11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7">
        <f t="shared" si="8"/>
        <v>0</v>
      </c>
      <c r="Z43" s="97">
        <f t="shared" si="8"/>
        <v>760513.11</v>
      </c>
      <c r="AA43" s="97">
        <f t="shared" si="8"/>
        <v>0</v>
      </c>
      <c r="AB43" s="97">
        <f t="shared" si="9"/>
        <v>760513.11</v>
      </c>
    </row>
    <row r="44" spans="1:28" ht="21">
      <c r="A44" s="99">
        <v>33</v>
      </c>
      <c r="B44" s="100" t="s">
        <v>288</v>
      </c>
      <c r="C44" s="100" t="s">
        <v>306</v>
      </c>
      <c r="D44" s="100"/>
      <c r="E44" s="101">
        <v>439660</v>
      </c>
      <c r="F44" s="100"/>
      <c r="G44" s="100"/>
      <c r="H44" s="101"/>
      <c r="I44" s="100"/>
      <c r="J44" s="100"/>
      <c r="K44" s="100"/>
      <c r="L44" s="100"/>
      <c r="M44" s="100"/>
      <c r="N44" s="101">
        <v>1005321.94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97">
        <f t="shared" si="8"/>
        <v>0</v>
      </c>
      <c r="Z44" s="97">
        <f t="shared" si="8"/>
        <v>1444981.94</v>
      </c>
      <c r="AA44" s="97">
        <f t="shared" si="8"/>
        <v>0</v>
      </c>
      <c r="AB44" s="97">
        <f t="shared" si="9"/>
        <v>1444981.94</v>
      </c>
    </row>
    <row r="45" spans="1:28" ht="21">
      <c r="A45" s="99">
        <v>34</v>
      </c>
      <c r="B45" s="100" t="s">
        <v>288</v>
      </c>
      <c r="C45" s="100" t="s">
        <v>305</v>
      </c>
      <c r="D45" s="100"/>
      <c r="E45" s="101"/>
      <c r="F45" s="100"/>
      <c r="G45" s="100"/>
      <c r="H45" s="101"/>
      <c r="I45" s="100"/>
      <c r="J45" s="100"/>
      <c r="K45" s="100"/>
      <c r="L45" s="100"/>
      <c r="M45" s="100"/>
      <c r="N45" s="101">
        <v>180027.23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97">
        <f t="shared" si="8"/>
        <v>0</v>
      </c>
      <c r="Z45" s="97">
        <f t="shared" si="8"/>
        <v>180027.23</v>
      </c>
      <c r="AA45" s="97">
        <f t="shared" si="8"/>
        <v>0</v>
      </c>
      <c r="AB45" s="97">
        <f t="shared" si="9"/>
        <v>180027.23</v>
      </c>
    </row>
    <row r="46" spans="1:28" ht="21.75" thickBot="1">
      <c r="A46" s="99">
        <v>35</v>
      </c>
      <c r="B46" s="100" t="s">
        <v>288</v>
      </c>
      <c r="C46" s="100" t="s">
        <v>304</v>
      </c>
      <c r="D46" s="100"/>
      <c r="E46" s="101">
        <v>353787.55</v>
      </c>
      <c r="F46" s="100"/>
      <c r="G46" s="100"/>
      <c r="H46" s="101"/>
      <c r="I46" s="100"/>
      <c r="J46" s="100"/>
      <c r="K46" s="100"/>
      <c r="L46" s="100"/>
      <c r="M46" s="100"/>
      <c r="N46" s="101">
        <v>2000224.34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97">
        <f t="shared" si="8"/>
        <v>0</v>
      </c>
      <c r="Z46" s="97">
        <f t="shared" si="8"/>
        <v>2354011.89</v>
      </c>
      <c r="AA46" s="97">
        <f t="shared" si="8"/>
        <v>0</v>
      </c>
      <c r="AB46" s="97">
        <f t="shared" si="9"/>
        <v>2354011.89</v>
      </c>
    </row>
    <row r="47" spans="1:28" ht="21.75" thickBot="1">
      <c r="A47" s="266" t="s">
        <v>309</v>
      </c>
      <c r="B47" s="266"/>
      <c r="C47" s="266"/>
      <c r="D47" s="118">
        <f aca="true" t="shared" si="10" ref="D47:AB47">SUM(D36:D46)</f>
        <v>0</v>
      </c>
      <c r="E47" s="118">
        <f t="shared" si="10"/>
        <v>6101423.35</v>
      </c>
      <c r="F47" s="118">
        <f t="shared" si="10"/>
        <v>0</v>
      </c>
      <c r="G47" s="118">
        <f t="shared" si="10"/>
        <v>0</v>
      </c>
      <c r="H47" s="118">
        <f t="shared" si="10"/>
        <v>0</v>
      </c>
      <c r="I47" s="118">
        <f t="shared" si="10"/>
        <v>0</v>
      </c>
      <c r="J47" s="118">
        <f t="shared" si="10"/>
        <v>0</v>
      </c>
      <c r="K47" s="118">
        <f t="shared" si="10"/>
        <v>0</v>
      </c>
      <c r="L47" s="118">
        <f t="shared" si="10"/>
        <v>0</v>
      </c>
      <c r="M47" s="118">
        <f t="shared" si="10"/>
        <v>0</v>
      </c>
      <c r="N47" s="118">
        <f t="shared" si="10"/>
        <v>17689294.17</v>
      </c>
      <c r="O47" s="118">
        <f t="shared" si="10"/>
        <v>0</v>
      </c>
      <c r="P47" s="118">
        <f t="shared" si="10"/>
        <v>365324.4</v>
      </c>
      <c r="Q47" s="118">
        <f t="shared" si="10"/>
        <v>6385.7</v>
      </c>
      <c r="R47" s="118">
        <f t="shared" si="10"/>
        <v>0</v>
      </c>
      <c r="S47" s="118">
        <f t="shared" si="10"/>
        <v>0</v>
      </c>
      <c r="T47" s="118">
        <f t="shared" si="10"/>
        <v>0</v>
      </c>
      <c r="U47" s="118">
        <f t="shared" si="10"/>
        <v>0</v>
      </c>
      <c r="V47" s="118">
        <f t="shared" si="10"/>
        <v>0</v>
      </c>
      <c r="W47" s="118">
        <f t="shared" si="10"/>
        <v>0</v>
      </c>
      <c r="X47" s="118">
        <f t="shared" si="10"/>
        <v>0</v>
      </c>
      <c r="Y47" s="118">
        <f t="shared" si="10"/>
        <v>365324.4</v>
      </c>
      <c r="Z47" s="118">
        <f t="shared" si="10"/>
        <v>23797103.220000003</v>
      </c>
      <c r="AA47" s="118">
        <f t="shared" si="10"/>
        <v>0</v>
      </c>
      <c r="AB47" s="118">
        <f t="shared" si="10"/>
        <v>24162427.620000005</v>
      </c>
    </row>
    <row r="48" spans="1:28" ht="22.5" thickBot="1" thickTop="1">
      <c r="A48" s="267" t="s">
        <v>25</v>
      </c>
      <c r="B48" s="267"/>
      <c r="C48" s="267"/>
      <c r="D48" s="111">
        <f aca="true" t="shared" si="11" ref="D48:AA48">D47+D34</f>
        <v>606748100.6099999</v>
      </c>
      <c r="E48" s="111">
        <f t="shared" si="11"/>
        <v>69978154.8</v>
      </c>
      <c r="F48" s="111">
        <f>F47+F34</f>
        <v>12012500.03</v>
      </c>
      <c r="G48" s="111">
        <f t="shared" si="11"/>
        <v>3796132.72</v>
      </c>
      <c r="H48" s="112">
        <f t="shared" si="11"/>
        <v>17739361.86</v>
      </c>
      <c r="I48" s="111">
        <f t="shared" si="11"/>
        <v>0</v>
      </c>
      <c r="J48" s="111">
        <f t="shared" si="11"/>
        <v>1196514.42</v>
      </c>
      <c r="K48" s="111">
        <f t="shared" si="11"/>
        <v>964926.44</v>
      </c>
      <c r="L48" s="111">
        <f t="shared" si="11"/>
        <v>0</v>
      </c>
      <c r="M48" s="111">
        <f t="shared" si="11"/>
        <v>70102912.85000001</v>
      </c>
      <c r="N48" s="111">
        <f t="shared" si="11"/>
        <v>123870782.63000001</v>
      </c>
      <c r="O48" s="111">
        <f t="shared" si="11"/>
        <v>0</v>
      </c>
      <c r="P48" s="111">
        <f t="shared" si="11"/>
        <v>259444915.42</v>
      </c>
      <c r="Q48" s="111">
        <f t="shared" si="11"/>
        <v>52713655.36000001</v>
      </c>
      <c r="R48" s="111">
        <f t="shared" si="11"/>
        <v>0</v>
      </c>
      <c r="S48" s="111">
        <f t="shared" si="11"/>
        <v>0</v>
      </c>
      <c r="T48" s="111">
        <f t="shared" si="11"/>
        <v>6959754</v>
      </c>
      <c r="U48" s="111">
        <f t="shared" si="11"/>
        <v>0</v>
      </c>
      <c r="V48" s="111">
        <f t="shared" si="11"/>
        <v>7636946.89</v>
      </c>
      <c r="W48" s="111">
        <f t="shared" si="11"/>
        <v>16985058.48</v>
      </c>
      <c r="X48" s="111">
        <f t="shared" si="11"/>
        <v>0</v>
      </c>
      <c r="Y48" s="111">
        <f t="shared" si="11"/>
        <v>948925522.91</v>
      </c>
      <c r="Z48" s="111">
        <f t="shared" si="11"/>
        <v>289211693.57000005</v>
      </c>
      <c r="AA48" s="111">
        <f t="shared" si="11"/>
        <v>12012500.03</v>
      </c>
      <c r="AB48" s="111">
        <f>AB47+AB34</f>
        <v>1250149716.5099998</v>
      </c>
    </row>
    <row r="49" spans="1:28" ht="21.75" thickTop="1">
      <c r="A49" s="119"/>
      <c r="B49" s="119"/>
      <c r="C49" s="119"/>
      <c r="D49" s="102"/>
      <c r="E49" s="102"/>
      <c r="F49" s="102"/>
      <c r="G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5:23" ht="21" hidden="1">
      <c r="E50" s="89"/>
      <c r="F50" s="89"/>
      <c r="G50" s="89"/>
      <c r="K50" s="102"/>
      <c r="N50" s="102"/>
      <c r="Q50" s="102"/>
      <c r="T50" s="102"/>
      <c r="W50" s="102"/>
    </row>
    <row r="51" spans="5:23" ht="21" hidden="1">
      <c r="E51" s="89"/>
      <c r="F51" s="89"/>
      <c r="G51" s="89"/>
      <c r="K51" s="102"/>
      <c r="N51" s="102"/>
      <c r="Q51" s="102"/>
      <c r="T51" s="102"/>
      <c r="W51" s="102"/>
    </row>
    <row r="52" spans="5:23" ht="21" hidden="1">
      <c r="E52" s="102"/>
      <c r="K52" s="102"/>
      <c r="N52" s="102"/>
      <c r="Q52" s="102"/>
      <c r="T52" s="102"/>
      <c r="W52" s="102"/>
    </row>
    <row r="53" spans="5:23" ht="21" hidden="1">
      <c r="E53" s="102"/>
      <c r="F53" s="102"/>
      <c r="K53" s="102"/>
      <c r="N53" s="102"/>
      <c r="Q53" s="102"/>
      <c r="T53" s="102"/>
      <c r="W53" s="102"/>
    </row>
    <row r="54" spans="5:23" ht="21" hidden="1">
      <c r="E54" s="102"/>
      <c r="K54" s="102"/>
      <c r="N54" s="102"/>
      <c r="Q54" s="102"/>
      <c r="T54" s="102"/>
      <c r="W54" s="102"/>
    </row>
    <row r="55" spans="5:23" ht="21" hidden="1">
      <c r="E55" s="102"/>
      <c r="K55" s="102"/>
      <c r="N55" s="102"/>
      <c r="Q55" s="102"/>
      <c r="T55" s="102"/>
      <c r="W55" s="102"/>
    </row>
    <row r="56" spans="2:30" ht="21" hidden="1">
      <c r="B56" s="88" t="s">
        <v>310</v>
      </c>
      <c r="K56" s="89"/>
      <c r="N56" s="89"/>
      <c r="Q56" s="89">
        <f>+P48+Q48</f>
        <v>312158570.78</v>
      </c>
      <c r="T56" s="89"/>
      <c r="W56" s="89"/>
      <c r="AA56" s="88" t="s">
        <v>311</v>
      </c>
      <c r="AB56" s="89">
        <f>49929988.81+8644039.23+37751250.84+19718635.33</f>
        <v>116043914.21000001</v>
      </c>
      <c r="AC56" s="89"/>
      <c r="AD56" s="89">
        <f>+AB48+AB56</f>
        <v>1366193630.7199998</v>
      </c>
    </row>
    <row r="57" spans="2:30" ht="21" hidden="1">
      <c r="B57" s="88" t="s">
        <v>312</v>
      </c>
      <c r="E57" s="89"/>
      <c r="F57" s="102"/>
      <c r="K57" s="102"/>
      <c r="N57" s="102"/>
      <c r="Q57" s="102">
        <f>311050576.6-19683239.76-44397866</f>
        <v>246969470.84000003</v>
      </c>
      <c r="T57" s="102"/>
      <c r="W57" s="102"/>
      <c r="AB57" s="89"/>
      <c r="AC57" s="89"/>
      <c r="AD57" s="89"/>
    </row>
    <row r="58" spans="5:30" ht="21" hidden="1">
      <c r="E58" s="102"/>
      <c r="F58" s="102"/>
      <c r="Q58" s="102">
        <f>+Q56-Q57</f>
        <v>65189099.93999994</v>
      </c>
      <c r="AB58" s="89">
        <f>641436+286823+81598</f>
        <v>1009857</v>
      </c>
      <c r="AC58" s="89"/>
      <c r="AD58" s="89">
        <f>+AD56+AB58</f>
        <v>1367203487.7199998</v>
      </c>
    </row>
    <row r="59" spans="5:23" ht="23.25" hidden="1">
      <c r="E59" s="102"/>
      <c r="F59" s="89"/>
      <c r="G59" s="102"/>
      <c r="K59" s="102"/>
      <c r="L59" s="89"/>
      <c r="M59" s="102"/>
      <c r="N59" s="258" t="s">
        <v>313</v>
      </c>
      <c r="O59" s="258"/>
      <c r="P59" s="258"/>
      <c r="Q59" s="258"/>
      <c r="R59" s="258"/>
      <c r="S59" s="258"/>
      <c r="T59" s="258"/>
      <c r="U59" s="258"/>
      <c r="V59" s="258"/>
      <c r="W59" s="258"/>
    </row>
    <row r="60" spans="5:23" ht="21" hidden="1">
      <c r="E60" s="102"/>
      <c r="F60" s="89"/>
      <c r="G60" s="102"/>
      <c r="K60" s="102"/>
      <c r="L60" s="89"/>
      <c r="M60" s="102"/>
      <c r="N60" s="121"/>
      <c r="O60" s="121"/>
      <c r="P60" s="121"/>
      <c r="Q60" s="121"/>
      <c r="R60" s="121"/>
      <c r="S60" s="121"/>
      <c r="T60" s="121"/>
      <c r="U60" s="121"/>
      <c r="V60" s="121"/>
      <c r="W60" s="121"/>
    </row>
    <row r="61" spans="5:23" ht="21" hidden="1">
      <c r="E61" s="102"/>
      <c r="F61" s="89"/>
      <c r="G61" s="102"/>
      <c r="K61" s="102"/>
      <c r="L61" s="89"/>
      <c r="M61" s="102"/>
      <c r="O61" s="2"/>
      <c r="P61" s="2"/>
      <c r="Q61" s="2"/>
      <c r="R61" s="2"/>
      <c r="S61" s="2"/>
      <c r="T61" s="2"/>
      <c r="U61" s="2"/>
      <c r="V61" s="2"/>
      <c r="W61" s="2"/>
    </row>
    <row r="62" spans="5:23" ht="23.25" hidden="1">
      <c r="E62" s="102"/>
      <c r="F62" s="89"/>
      <c r="G62" s="102"/>
      <c r="K62" s="102"/>
      <c r="L62" s="89"/>
      <c r="M62" s="102"/>
      <c r="N62" s="4" t="s">
        <v>314</v>
      </c>
      <c r="O62" s="4"/>
      <c r="P62" s="122"/>
      <c r="Q62" s="122"/>
      <c r="R62" s="123"/>
      <c r="S62" s="122" t="s">
        <v>315</v>
      </c>
      <c r="T62" s="4"/>
      <c r="U62" s="4"/>
      <c r="V62" s="4"/>
      <c r="W62" s="4"/>
    </row>
    <row r="63" spans="5:23" ht="23.25" hidden="1">
      <c r="E63" s="102"/>
      <c r="F63" s="89"/>
      <c r="G63" s="102"/>
      <c r="K63" s="102"/>
      <c r="L63" s="89"/>
      <c r="M63" s="102"/>
      <c r="N63" s="3" t="s">
        <v>316</v>
      </c>
      <c r="O63" s="3"/>
      <c r="P63" s="124"/>
      <c r="Q63" s="124"/>
      <c r="R63" s="124"/>
      <c r="S63" s="124" t="s">
        <v>317</v>
      </c>
      <c r="T63" s="3"/>
      <c r="U63" s="3"/>
      <c r="V63" s="3"/>
      <c r="W63" s="3"/>
    </row>
    <row r="64" spans="5:13" ht="21">
      <c r="E64" s="102"/>
      <c r="F64" s="102"/>
      <c r="G64" s="102"/>
      <c r="K64" s="102"/>
      <c r="L64" s="102"/>
      <c r="M64" s="102"/>
    </row>
    <row r="65" ht="21">
      <c r="E65" s="102"/>
    </row>
  </sheetData>
  <sheetProtection/>
  <mergeCells count="23">
    <mergeCell ref="A1:AA1"/>
    <mergeCell ref="A3:C3"/>
    <mergeCell ref="A4:A5"/>
    <mergeCell ref="B4:B5"/>
    <mergeCell ref="C4:C5"/>
    <mergeCell ref="D4:F4"/>
    <mergeCell ref="G4:I4"/>
    <mergeCell ref="J4:L4"/>
    <mergeCell ref="M4:O4"/>
    <mergeCell ref="P4:R4"/>
    <mergeCell ref="S4:U4"/>
    <mergeCell ref="V4:X4"/>
    <mergeCell ref="Y4:AA4"/>
    <mergeCell ref="AB4:AB5"/>
    <mergeCell ref="A6:C6"/>
    <mergeCell ref="A24:C24"/>
    <mergeCell ref="N59:W59"/>
    <mergeCell ref="A25:C25"/>
    <mergeCell ref="A33:C33"/>
    <mergeCell ref="A34:C34"/>
    <mergeCell ref="A35:C35"/>
    <mergeCell ref="A47:C47"/>
    <mergeCell ref="A48:C4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5"/>
  <sheetViews>
    <sheetView zoomScale="60" zoomScaleNormal="60" zoomScalePageLayoutView="0" workbookViewId="0" topLeftCell="A1">
      <selection activeCell="F28" sqref="F28"/>
    </sheetView>
  </sheetViews>
  <sheetFormatPr defaultColWidth="9.140625" defaultRowHeight="15"/>
  <cols>
    <col min="1" max="1" width="3.8515625" style="120" customWidth="1"/>
    <col min="2" max="2" width="21.00390625" style="88" customWidth="1"/>
    <col min="3" max="3" width="39.00390625" style="88" bestFit="1" customWidth="1"/>
    <col min="4" max="4" width="15.421875" style="88" bestFit="1" customWidth="1"/>
    <col min="5" max="6" width="14.421875" style="88" bestFit="1" customWidth="1"/>
    <col min="7" max="7" width="13.28125" style="88" bestFit="1" customWidth="1"/>
    <col min="8" max="8" width="14.421875" style="89" bestFit="1" customWidth="1"/>
    <col min="9" max="9" width="7.28125" style="88" bestFit="1" customWidth="1"/>
    <col min="10" max="10" width="13.28125" style="88" bestFit="1" customWidth="1"/>
    <col min="11" max="11" width="11.7109375" style="88" bestFit="1" customWidth="1"/>
    <col min="12" max="12" width="7.28125" style="88" bestFit="1" customWidth="1"/>
    <col min="13" max="13" width="5.421875" style="88" bestFit="1" customWidth="1"/>
    <col min="14" max="14" width="13.28125" style="88" bestFit="1" customWidth="1"/>
    <col min="15" max="15" width="7.28125" style="88" bestFit="1" customWidth="1"/>
    <col min="16" max="16" width="15.421875" style="88" bestFit="1" customWidth="1"/>
    <col min="17" max="19" width="14.421875" style="88" bestFit="1" customWidth="1"/>
    <col min="20" max="20" width="21.00390625" style="88" customWidth="1"/>
    <col min="21" max="21" width="7.28125" style="88" bestFit="1" customWidth="1"/>
    <col min="22" max="23" width="15.421875" style="88" bestFit="1" customWidth="1"/>
    <col min="24" max="24" width="7.28125" style="88" bestFit="1" customWidth="1"/>
    <col min="25" max="25" width="17.57421875" style="88" customWidth="1"/>
    <col min="26" max="26" width="16.00390625" style="88" customWidth="1"/>
    <col min="27" max="27" width="12.421875" style="88" customWidth="1"/>
    <col min="28" max="28" width="13.28125" style="88" bestFit="1" customWidth="1"/>
    <col min="29" max="29" width="14.421875" style="88" bestFit="1" customWidth="1"/>
    <col min="30" max="30" width="7.28125" style="88" bestFit="1" customWidth="1"/>
    <col min="31" max="31" width="13.28125" style="88" bestFit="1" customWidth="1"/>
    <col min="32" max="32" width="14.421875" style="88" bestFit="1" customWidth="1"/>
    <col min="33" max="33" width="9.28125" style="88" customWidth="1"/>
    <col min="34" max="35" width="15.421875" style="88" bestFit="1" customWidth="1"/>
    <col min="36" max="36" width="14.421875" style="88" bestFit="1" customWidth="1"/>
    <col min="37" max="37" width="17.00390625" style="88" bestFit="1" customWidth="1"/>
    <col min="38" max="38" width="9.00390625" style="88" customWidth="1"/>
    <col min="39" max="39" width="15.8515625" style="88" bestFit="1" customWidth="1"/>
    <col min="40" max="40" width="12.421875" style="88" bestFit="1" customWidth="1"/>
    <col min="41" max="41" width="11.00390625" style="88" bestFit="1" customWidth="1"/>
    <col min="42" max="42" width="13.421875" style="88" bestFit="1" customWidth="1"/>
    <col min="43" max="16384" width="9.00390625" style="88" customWidth="1"/>
  </cols>
  <sheetData>
    <row r="1" spans="1:36" s="85" customFormat="1" ht="23.25">
      <c r="A1" s="278" t="s">
        <v>266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</row>
    <row r="2" spans="1:36" s="85" customFormat="1" ht="20.25" customHeight="1">
      <c r="A2" s="86"/>
      <c r="B2" s="86"/>
      <c r="C2" s="86"/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" ht="30" customHeight="1">
      <c r="A3" s="279" t="s">
        <v>267</v>
      </c>
      <c r="B3" s="279"/>
      <c r="C3" s="279"/>
    </row>
    <row r="4" spans="1:37" ht="21">
      <c r="A4" s="280" t="s">
        <v>257</v>
      </c>
      <c r="B4" s="281" t="s">
        <v>268</v>
      </c>
      <c r="C4" s="280" t="s">
        <v>269</v>
      </c>
      <c r="D4" s="268" t="s">
        <v>318</v>
      </c>
      <c r="E4" s="269"/>
      <c r="F4" s="269"/>
      <c r="G4" s="268" t="s">
        <v>319</v>
      </c>
      <c r="H4" s="269"/>
      <c r="I4" s="269"/>
      <c r="J4" s="268" t="s">
        <v>28</v>
      </c>
      <c r="K4" s="269"/>
      <c r="L4" s="269"/>
      <c r="M4" s="268" t="s">
        <v>320</v>
      </c>
      <c r="N4" s="269"/>
      <c r="O4" s="269"/>
      <c r="P4" s="284" t="s">
        <v>191</v>
      </c>
      <c r="Q4" s="284"/>
      <c r="R4" s="284"/>
      <c r="S4" s="268" t="s">
        <v>321</v>
      </c>
      <c r="T4" s="269"/>
      <c r="U4" s="269"/>
      <c r="V4" s="268" t="s">
        <v>322</v>
      </c>
      <c r="W4" s="269"/>
      <c r="X4" s="287"/>
      <c r="Y4" s="284" t="s">
        <v>192</v>
      </c>
      <c r="Z4" s="284"/>
      <c r="AA4" s="284"/>
      <c r="AB4" s="268" t="s">
        <v>323</v>
      </c>
      <c r="AC4" s="269"/>
      <c r="AD4" s="269"/>
      <c r="AE4" s="284" t="s">
        <v>324</v>
      </c>
      <c r="AF4" s="284"/>
      <c r="AG4" s="284"/>
      <c r="AH4" s="285" t="s">
        <v>3</v>
      </c>
      <c r="AI4" s="285"/>
      <c r="AJ4" s="285"/>
      <c r="AK4" s="286" t="s">
        <v>194</v>
      </c>
    </row>
    <row r="5" spans="1:37" ht="21">
      <c r="A5" s="280"/>
      <c r="B5" s="280"/>
      <c r="C5" s="280"/>
      <c r="D5" s="90" t="s">
        <v>0</v>
      </c>
      <c r="E5" s="91" t="s">
        <v>1</v>
      </c>
      <c r="F5" s="91" t="s">
        <v>4</v>
      </c>
      <c r="G5" s="90" t="s">
        <v>0</v>
      </c>
      <c r="H5" s="92" t="s">
        <v>1</v>
      </c>
      <c r="I5" s="91" t="s">
        <v>4</v>
      </c>
      <c r="J5" s="90" t="s">
        <v>0</v>
      </c>
      <c r="K5" s="91" t="s">
        <v>1</v>
      </c>
      <c r="L5" s="91" t="s">
        <v>4</v>
      </c>
      <c r="M5" s="90" t="s">
        <v>0</v>
      </c>
      <c r="N5" s="91" t="s">
        <v>1</v>
      </c>
      <c r="O5" s="91" t="s">
        <v>4</v>
      </c>
      <c r="P5" s="11" t="s">
        <v>0</v>
      </c>
      <c r="Q5" s="11" t="s">
        <v>1</v>
      </c>
      <c r="R5" s="11" t="s">
        <v>4</v>
      </c>
      <c r="S5" s="90" t="s">
        <v>0</v>
      </c>
      <c r="T5" s="91" t="s">
        <v>1</v>
      </c>
      <c r="U5" s="91" t="s">
        <v>4</v>
      </c>
      <c r="V5" s="90" t="s">
        <v>0</v>
      </c>
      <c r="W5" s="91" t="s">
        <v>1</v>
      </c>
      <c r="X5" s="125" t="s">
        <v>4</v>
      </c>
      <c r="Y5" s="11" t="s">
        <v>0</v>
      </c>
      <c r="Z5" s="11" t="s">
        <v>1</v>
      </c>
      <c r="AA5" s="11" t="s">
        <v>4</v>
      </c>
      <c r="AB5" s="90" t="s">
        <v>0</v>
      </c>
      <c r="AC5" s="91" t="s">
        <v>1</v>
      </c>
      <c r="AD5" s="91" t="s">
        <v>4</v>
      </c>
      <c r="AE5" s="11" t="s">
        <v>0</v>
      </c>
      <c r="AF5" s="11" t="s">
        <v>1</v>
      </c>
      <c r="AG5" s="11" t="s">
        <v>4</v>
      </c>
      <c r="AH5" s="11" t="s">
        <v>0</v>
      </c>
      <c r="AI5" s="11" t="s">
        <v>1</v>
      </c>
      <c r="AJ5" s="11" t="s">
        <v>4</v>
      </c>
      <c r="AK5" s="284"/>
    </row>
    <row r="6" spans="1:37" ht="21">
      <c r="A6" s="272" t="s">
        <v>231</v>
      </c>
      <c r="B6" s="273"/>
      <c r="C6" s="274"/>
      <c r="D6" s="93"/>
      <c r="E6" s="93"/>
      <c r="F6" s="93"/>
      <c r="G6" s="93"/>
      <c r="H6" s="94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126"/>
      <c r="Y6" s="93"/>
      <c r="Z6" s="93"/>
      <c r="AA6" s="93"/>
      <c r="AB6" s="135"/>
      <c r="AC6" s="93"/>
      <c r="AD6" s="93"/>
      <c r="AE6" s="93"/>
      <c r="AF6" s="93"/>
      <c r="AG6" s="93"/>
      <c r="AH6" s="93"/>
      <c r="AI6" s="93"/>
      <c r="AJ6" s="93"/>
      <c r="AK6" s="93"/>
    </row>
    <row r="7" spans="1:37" ht="21">
      <c r="A7" s="95">
        <v>1</v>
      </c>
      <c r="B7" s="93" t="s">
        <v>276</v>
      </c>
      <c r="C7" s="96" t="s">
        <v>277</v>
      </c>
      <c r="D7" s="94">
        <v>33905361.75</v>
      </c>
      <c r="E7" s="94">
        <v>3832028.9899999998</v>
      </c>
      <c r="F7" s="94">
        <v>200502.59</v>
      </c>
      <c r="G7" s="94"/>
      <c r="H7" s="94">
        <v>516430</v>
      </c>
      <c r="I7" s="94"/>
      <c r="J7" s="94"/>
      <c r="K7" s="94">
        <v>288944.86</v>
      </c>
      <c r="L7" s="94"/>
      <c r="M7" s="94"/>
      <c r="N7" s="94"/>
      <c r="O7" s="94"/>
      <c r="P7" s="94">
        <f>+D7+G7+J7+M7</f>
        <v>33905361.75</v>
      </c>
      <c r="Q7" s="94">
        <f>+E7+H7+K7+N7</f>
        <v>4637403.850000001</v>
      </c>
      <c r="R7" s="94">
        <f>+F7+I7+L7+O7</f>
        <v>200502.59</v>
      </c>
      <c r="S7" s="94">
        <v>7052155.63</v>
      </c>
      <c r="T7" s="94">
        <v>12946787.920000002</v>
      </c>
      <c r="U7" s="94"/>
      <c r="V7" s="94">
        <v>36150863.99</v>
      </c>
      <c r="W7" s="94">
        <v>3441464.32</v>
      </c>
      <c r="X7" s="127"/>
      <c r="Y7" s="97">
        <f>+S7+V7</f>
        <v>43203019.620000005</v>
      </c>
      <c r="Z7" s="97">
        <f>+T7+W7</f>
        <v>16388252.240000002</v>
      </c>
      <c r="AA7" s="97">
        <f>+U7+X7</f>
        <v>0</v>
      </c>
      <c r="AB7" s="136"/>
      <c r="AC7" s="94">
        <v>1048530</v>
      </c>
      <c r="AD7" s="94"/>
      <c r="AE7" s="94">
        <f>+AB7</f>
        <v>0</v>
      </c>
      <c r="AF7" s="94">
        <f>+AC7</f>
        <v>1048530</v>
      </c>
      <c r="AG7" s="94">
        <f>+AD7</f>
        <v>0</v>
      </c>
      <c r="AH7" s="97">
        <f>+P7+Y7+AE7</f>
        <v>77108381.37</v>
      </c>
      <c r="AI7" s="97">
        <f>+Q7+Z7+AF7</f>
        <v>22074186.090000004</v>
      </c>
      <c r="AJ7" s="97">
        <f>+R7+AA7+AG7</f>
        <v>200502.59</v>
      </c>
      <c r="AK7" s="97">
        <f>AH7+AI7+AJ7</f>
        <v>99383070.05000001</v>
      </c>
    </row>
    <row r="8" spans="1:37" ht="21">
      <c r="A8" s="95">
        <v>2</v>
      </c>
      <c r="B8" s="93" t="s">
        <v>276</v>
      </c>
      <c r="C8" s="96" t="s">
        <v>260</v>
      </c>
      <c r="D8" s="94">
        <v>18579669.37</v>
      </c>
      <c r="E8" s="94">
        <v>4491812.800000001</v>
      </c>
      <c r="F8" s="94">
        <v>273362.31</v>
      </c>
      <c r="G8" s="94">
        <v>14948</v>
      </c>
      <c r="H8" s="94">
        <v>472790</v>
      </c>
      <c r="I8" s="94"/>
      <c r="J8" s="94"/>
      <c r="K8" s="94"/>
      <c r="L8" s="94"/>
      <c r="M8" s="94"/>
      <c r="N8" s="94"/>
      <c r="O8" s="94"/>
      <c r="P8" s="94">
        <f aca="true" t="shared" si="0" ref="P8:P22">+D8+G8+J8+M8</f>
        <v>18594617.37</v>
      </c>
      <c r="Q8" s="94">
        <f aca="true" t="shared" si="1" ref="Q8:Q22">+E8+H8+K8+N8</f>
        <v>4964602.800000001</v>
      </c>
      <c r="R8" s="94">
        <f aca="true" t="shared" si="2" ref="R8:R22">+F8+I8+L8+O8</f>
        <v>273362.31</v>
      </c>
      <c r="S8" s="94">
        <v>3581785</v>
      </c>
      <c r="T8" s="94">
        <v>13470433.73</v>
      </c>
      <c r="U8" s="94"/>
      <c r="V8" s="94">
        <v>22534471.75</v>
      </c>
      <c r="W8" s="94">
        <v>2106857.15</v>
      </c>
      <c r="X8" s="127"/>
      <c r="Y8" s="97">
        <f aca="true" t="shared" si="3" ref="Y8:Y46">+S8+V8</f>
        <v>26116256.75</v>
      </c>
      <c r="Z8" s="97">
        <f aca="true" t="shared" si="4" ref="Z8:Z46">+T8+W8</f>
        <v>15577290.88</v>
      </c>
      <c r="AA8" s="97">
        <f aca="true" t="shared" si="5" ref="AA8:AA46">+U8+X8</f>
        <v>0</v>
      </c>
      <c r="AB8" s="136"/>
      <c r="AC8" s="94">
        <v>1115000</v>
      </c>
      <c r="AD8" s="94"/>
      <c r="AE8" s="94">
        <f aca="true" t="shared" si="6" ref="AE8:AE46">+AB8</f>
        <v>0</v>
      </c>
      <c r="AF8" s="94">
        <f aca="true" t="shared" si="7" ref="AF8:AF46">+AC8</f>
        <v>1115000</v>
      </c>
      <c r="AG8" s="94">
        <f aca="true" t="shared" si="8" ref="AG8:AG46">+AD8</f>
        <v>0</v>
      </c>
      <c r="AH8" s="97">
        <f aca="true" t="shared" si="9" ref="AH8:AH46">+P8+Y8+AE8</f>
        <v>44710874.120000005</v>
      </c>
      <c r="AI8" s="97">
        <f aca="true" t="shared" si="10" ref="AI8:AI46">+Q8+Z8+AF8</f>
        <v>21656893.68</v>
      </c>
      <c r="AJ8" s="97">
        <f aca="true" t="shared" si="11" ref="AJ8:AJ46">+R8+AA8+AG8</f>
        <v>273362.31</v>
      </c>
      <c r="AK8" s="97">
        <f aca="true" t="shared" si="12" ref="AK8:AK23">AH8+AI8+AJ8</f>
        <v>66641130.11000001</v>
      </c>
    </row>
    <row r="9" spans="1:37" ht="21">
      <c r="A9" s="95">
        <v>3</v>
      </c>
      <c r="B9" s="93" t="s">
        <v>276</v>
      </c>
      <c r="C9" s="96" t="s">
        <v>278</v>
      </c>
      <c r="D9" s="94">
        <v>32866729.48</v>
      </c>
      <c r="E9" s="94">
        <v>4263557.21</v>
      </c>
      <c r="F9" s="94">
        <v>132845.38</v>
      </c>
      <c r="G9" s="94">
        <v>65914</v>
      </c>
      <c r="H9" s="94">
        <v>1124370</v>
      </c>
      <c r="I9" s="94"/>
      <c r="J9" s="94">
        <v>4590</v>
      </c>
      <c r="K9" s="94">
        <v>720</v>
      </c>
      <c r="L9" s="94"/>
      <c r="M9" s="94"/>
      <c r="N9" s="94"/>
      <c r="O9" s="94"/>
      <c r="P9" s="94">
        <f t="shared" si="0"/>
        <v>32937233.48</v>
      </c>
      <c r="Q9" s="94">
        <f t="shared" si="1"/>
        <v>5388647.21</v>
      </c>
      <c r="R9" s="94">
        <f t="shared" si="2"/>
        <v>132845.38</v>
      </c>
      <c r="S9" s="94">
        <v>5229056.36</v>
      </c>
      <c r="T9" s="94">
        <v>8038402.41</v>
      </c>
      <c r="U9" s="94"/>
      <c r="V9" s="94">
        <v>13370281.56</v>
      </c>
      <c r="W9" s="94">
        <v>4086279.14</v>
      </c>
      <c r="X9" s="127"/>
      <c r="Y9" s="97">
        <f t="shared" si="3"/>
        <v>18599337.92</v>
      </c>
      <c r="Z9" s="97">
        <f t="shared" si="4"/>
        <v>12124681.55</v>
      </c>
      <c r="AA9" s="97">
        <f t="shared" si="5"/>
        <v>0</v>
      </c>
      <c r="AB9" s="136"/>
      <c r="AC9" s="94">
        <v>1828370</v>
      </c>
      <c r="AD9" s="94"/>
      <c r="AE9" s="94">
        <f t="shared" si="6"/>
        <v>0</v>
      </c>
      <c r="AF9" s="94">
        <f t="shared" si="7"/>
        <v>1828370</v>
      </c>
      <c r="AG9" s="94">
        <f t="shared" si="8"/>
        <v>0</v>
      </c>
      <c r="AH9" s="97">
        <f t="shared" si="9"/>
        <v>51536571.400000006</v>
      </c>
      <c r="AI9" s="97">
        <f t="shared" si="10"/>
        <v>19341698.76</v>
      </c>
      <c r="AJ9" s="97">
        <f t="shared" si="11"/>
        <v>132845.38</v>
      </c>
      <c r="AK9" s="97">
        <f t="shared" si="12"/>
        <v>71011115.54</v>
      </c>
    </row>
    <row r="10" spans="1:37" ht="21">
      <c r="A10" s="95">
        <v>4</v>
      </c>
      <c r="B10" s="93" t="s">
        <v>276</v>
      </c>
      <c r="C10" s="96" t="s">
        <v>262</v>
      </c>
      <c r="D10" s="94">
        <v>18125144.16</v>
      </c>
      <c r="E10" s="94">
        <v>1705273.25</v>
      </c>
      <c r="F10" s="94">
        <v>43050.46</v>
      </c>
      <c r="G10" s="94"/>
      <c r="H10" s="94">
        <v>276638</v>
      </c>
      <c r="I10" s="94"/>
      <c r="J10" s="94"/>
      <c r="K10" s="94">
        <v>6419</v>
      </c>
      <c r="L10" s="94"/>
      <c r="M10" s="94"/>
      <c r="N10" s="94"/>
      <c r="O10" s="94"/>
      <c r="P10" s="94">
        <f t="shared" si="0"/>
        <v>18125144.16</v>
      </c>
      <c r="Q10" s="94">
        <f t="shared" si="1"/>
        <v>1988330.25</v>
      </c>
      <c r="R10" s="94">
        <f t="shared" si="2"/>
        <v>43050.46</v>
      </c>
      <c r="S10" s="94">
        <v>34430</v>
      </c>
      <c r="T10" s="94">
        <v>1189285.79</v>
      </c>
      <c r="U10" s="94"/>
      <c r="V10" s="94">
        <v>4401113.72</v>
      </c>
      <c r="W10" s="94">
        <v>351665.28</v>
      </c>
      <c r="X10" s="127"/>
      <c r="Y10" s="97">
        <f t="shared" si="3"/>
        <v>4435543.72</v>
      </c>
      <c r="Z10" s="97">
        <f t="shared" si="4"/>
        <v>1540951.07</v>
      </c>
      <c r="AA10" s="97">
        <f t="shared" si="5"/>
        <v>0</v>
      </c>
      <c r="AB10" s="136"/>
      <c r="AC10" s="94">
        <v>225000</v>
      </c>
      <c r="AD10" s="94"/>
      <c r="AE10" s="94">
        <f t="shared" si="6"/>
        <v>0</v>
      </c>
      <c r="AF10" s="94">
        <f t="shared" si="7"/>
        <v>225000</v>
      </c>
      <c r="AG10" s="94">
        <f t="shared" si="8"/>
        <v>0</v>
      </c>
      <c r="AH10" s="97">
        <f t="shared" si="9"/>
        <v>22560687.88</v>
      </c>
      <c r="AI10" s="97">
        <f t="shared" si="10"/>
        <v>3754281.3200000003</v>
      </c>
      <c r="AJ10" s="97">
        <f t="shared" si="11"/>
        <v>43050.46</v>
      </c>
      <c r="AK10" s="97">
        <f t="shared" si="12"/>
        <v>26358019.66</v>
      </c>
    </row>
    <row r="11" spans="1:37" ht="21">
      <c r="A11" s="95">
        <v>5</v>
      </c>
      <c r="B11" s="93" t="s">
        <v>276</v>
      </c>
      <c r="C11" s="96" t="s">
        <v>263</v>
      </c>
      <c r="D11" s="94">
        <v>17898134.57</v>
      </c>
      <c r="E11" s="94">
        <v>2577608.7399999998</v>
      </c>
      <c r="F11" s="94">
        <v>68633.68</v>
      </c>
      <c r="G11" s="94"/>
      <c r="H11" s="94">
        <v>630919</v>
      </c>
      <c r="I11" s="94"/>
      <c r="J11" s="94"/>
      <c r="K11" s="94">
        <v>23676</v>
      </c>
      <c r="L11" s="94"/>
      <c r="M11" s="94"/>
      <c r="N11" s="94"/>
      <c r="O11" s="94"/>
      <c r="P11" s="94">
        <f t="shared" si="0"/>
        <v>17898134.57</v>
      </c>
      <c r="Q11" s="94">
        <f t="shared" si="1"/>
        <v>3232203.7399999998</v>
      </c>
      <c r="R11" s="94">
        <f t="shared" si="2"/>
        <v>68633.68</v>
      </c>
      <c r="S11" s="94">
        <v>5446</v>
      </c>
      <c r="T11" s="94">
        <v>4573032.2</v>
      </c>
      <c r="U11" s="94"/>
      <c r="V11" s="94">
        <v>11211794.42</v>
      </c>
      <c r="W11" s="94">
        <v>2622786.35</v>
      </c>
      <c r="X11" s="127"/>
      <c r="Y11" s="97">
        <f t="shared" si="3"/>
        <v>11217240.42</v>
      </c>
      <c r="Z11" s="97">
        <f t="shared" si="4"/>
        <v>7195818.550000001</v>
      </c>
      <c r="AA11" s="97">
        <f t="shared" si="5"/>
        <v>0</v>
      </c>
      <c r="AB11" s="136"/>
      <c r="AC11" s="94">
        <v>832130</v>
      </c>
      <c r="AD11" s="94"/>
      <c r="AE11" s="94">
        <f t="shared" si="6"/>
        <v>0</v>
      </c>
      <c r="AF11" s="94">
        <f t="shared" si="7"/>
        <v>832130</v>
      </c>
      <c r="AG11" s="94">
        <f t="shared" si="8"/>
        <v>0</v>
      </c>
      <c r="AH11" s="97">
        <f t="shared" si="9"/>
        <v>29115374.990000002</v>
      </c>
      <c r="AI11" s="97">
        <f t="shared" si="10"/>
        <v>11260152.290000001</v>
      </c>
      <c r="AJ11" s="97">
        <f t="shared" si="11"/>
        <v>68633.68</v>
      </c>
      <c r="AK11" s="97">
        <f t="shared" si="12"/>
        <v>40444160.96</v>
      </c>
    </row>
    <row r="12" spans="1:37" ht="21">
      <c r="A12" s="95">
        <v>6</v>
      </c>
      <c r="B12" s="93" t="s">
        <v>276</v>
      </c>
      <c r="C12" s="96" t="s">
        <v>197</v>
      </c>
      <c r="D12" s="94">
        <v>16030156.52</v>
      </c>
      <c r="E12" s="94">
        <v>2058569.7</v>
      </c>
      <c r="F12" s="94">
        <v>23225.68</v>
      </c>
      <c r="G12" s="94"/>
      <c r="H12" s="94">
        <v>64800</v>
      </c>
      <c r="I12" s="94"/>
      <c r="J12" s="94">
        <v>480</v>
      </c>
      <c r="K12" s="94"/>
      <c r="L12" s="94"/>
      <c r="M12" s="94"/>
      <c r="N12" s="94"/>
      <c r="O12" s="94"/>
      <c r="P12" s="94">
        <f t="shared" si="0"/>
        <v>16030636.52</v>
      </c>
      <c r="Q12" s="94">
        <f t="shared" si="1"/>
        <v>2123369.7</v>
      </c>
      <c r="R12" s="94">
        <f t="shared" si="2"/>
        <v>23225.68</v>
      </c>
      <c r="S12" s="94">
        <v>18182</v>
      </c>
      <c r="T12" s="94">
        <v>2023357.56</v>
      </c>
      <c r="U12" s="94"/>
      <c r="V12" s="94">
        <v>7872523.27</v>
      </c>
      <c r="W12" s="94">
        <v>1359929.11</v>
      </c>
      <c r="X12" s="127"/>
      <c r="Y12" s="97">
        <f t="shared" si="3"/>
        <v>7890705.27</v>
      </c>
      <c r="Z12" s="97">
        <f t="shared" si="4"/>
        <v>3383286.67</v>
      </c>
      <c r="AA12" s="97">
        <f t="shared" si="5"/>
        <v>0</v>
      </c>
      <c r="AB12" s="136"/>
      <c r="AC12" s="94">
        <v>115000</v>
      </c>
      <c r="AD12" s="94"/>
      <c r="AE12" s="94">
        <f t="shared" si="6"/>
        <v>0</v>
      </c>
      <c r="AF12" s="94">
        <f t="shared" si="7"/>
        <v>115000</v>
      </c>
      <c r="AG12" s="94">
        <f t="shared" si="8"/>
        <v>0</v>
      </c>
      <c r="AH12" s="97">
        <f t="shared" si="9"/>
        <v>23921341.79</v>
      </c>
      <c r="AI12" s="97">
        <f t="shared" si="10"/>
        <v>5621656.37</v>
      </c>
      <c r="AJ12" s="97">
        <f t="shared" si="11"/>
        <v>23225.68</v>
      </c>
      <c r="AK12" s="97">
        <f t="shared" si="12"/>
        <v>29566223.84</v>
      </c>
    </row>
    <row r="13" spans="1:37" ht="21">
      <c r="A13" s="95">
        <v>7</v>
      </c>
      <c r="B13" s="93" t="s">
        <v>279</v>
      </c>
      <c r="C13" s="93" t="s">
        <v>280</v>
      </c>
      <c r="D13" s="94">
        <v>27530610.83</v>
      </c>
      <c r="E13" s="94">
        <v>1699976.01</v>
      </c>
      <c r="F13" s="94">
        <v>101017</v>
      </c>
      <c r="G13" s="94"/>
      <c r="H13" s="94">
        <v>49518</v>
      </c>
      <c r="I13" s="94">
        <v>0</v>
      </c>
      <c r="J13" s="94">
        <v>111672</v>
      </c>
      <c r="K13" s="94">
        <v>25392</v>
      </c>
      <c r="L13" s="94">
        <v>0</v>
      </c>
      <c r="M13" s="94"/>
      <c r="N13" s="94"/>
      <c r="O13" s="94"/>
      <c r="P13" s="94">
        <f t="shared" si="0"/>
        <v>27642282.83</v>
      </c>
      <c r="Q13" s="94">
        <f t="shared" si="1"/>
        <v>1774886.01</v>
      </c>
      <c r="R13" s="94">
        <f t="shared" si="2"/>
        <v>101017</v>
      </c>
      <c r="S13" s="94">
        <v>1730176.55</v>
      </c>
      <c r="T13" s="94">
        <v>2413054.92</v>
      </c>
      <c r="U13" s="94">
        <v>0</v>
      </c>
      <c r="V13" s="94">
        <v>18181976.44</v>
      </c>
      <c r="W13" s="94">
        <v>1501263.32</v>
      </c>
      <c r="X13" s="127">
        <v>0</v>
      </c>
      <c r="Y13" s="97">
        <f t="shared" si="3"/>
        <v>19912152.990000002</v>
      </c>
      <c r="Z13" s="97">
        <f t="shared" si="4"/>
        <v>3914318.24</v>
      </c>
      <c r="AA13" s="97">
        <f t="shared" si="5"/>
        <v>0</v>
      </c>
      <c r="AB13" s="136">
        <v>52596</v>
      </c>
      <c r="AC13" s="94">
        <v>0</v>
      </c>
      <c r="AD13" s="94">
        <v>0</v>
      </c>
      <c r="AE13" s="94">
        <f t="shared" si="6"/>
        <v>52596</v>
      </c>
      <c r="AF13" s="94">
        <f t="shared" si="7"/>
        <v>0</v>
      </c>
      <c r="AG13" s="94">
        <f t="shared" si="8"/>
        <v>0</v>
      </c>
      <c r="AH13" s="97">
        <f t="shared" si="9"/>
        <v>47607031.82</v>
      </c>
      <c r="AI13" s="97">
        <f t="shared" si="10"/>
        <v>5689204.25</v>
      </c>
      <c r="AJ13" s="97">
        <f t="shared" si="11"/>
        <v>101017</v>
      </c>
      <c r="AK13" s="97">
        <f t="shared" si="12"/>
        <v>53397253.07</v>
      </c>
    </row>
    <row r="14" spans="1:37" ht="21">
      <c r="A14" s="95">
        <v>8</v>
      </c>
      <c r="B14" s="93" t="s">
        <v>281</v>
      </c>
      <c r="C14" s="93" t="s">
        <v>282</v>
      </c>
      <c r="D14" s="97">
        <v>34567487</v>
      </c>
      <c r="E14" s="97">
        <v>2607599.91</v>
      </c>
      <c r="F14" s="97">
        <v>125825.5</v>
      </c>
      <c r="G14" s="97">
        <v>1322572</v>
      </c>
      <c r="H14" s="98">
        <v>0</v>
      </c>
      <c r="I14" s="97">
        <v>0</v>
      </c>
      <c r="J14" s="97">
        <v>12460.8</v>
      </c>
      <c r="K14" s="97">
        <v>242733.83</v>
      </c>
      <c r="L14" s="97">
        <v>0</v>
      </c>
      <c r="M14" s="97">
        <v>0</v>
      </c>
      <c r="N14" s="97">
        <v>2268269</v>
      </c>
      <c r="O14" s="97">
        <v>0</v>
      </c>
      <c r="P14" s="94">
        <f t="shared" si="0"/>
        <v>35902519.8</v>
      </c>
      <c r="Q14" s="94">
        <f t="shared" si="1"/>
        <v>5118602.74</v>
      </c>
      <c r="R14" s="94">
        <f t="shared" si="2"/>
        <v>125825.5</v>
      </c>
      <c r="S14" s="97">
        <v>2056786.12</v>
      </c>
      <c r="T14" s="97">
        <v>1525259.3900000006</v>
      </c>
      <c r="U14" s="97">
        <v>0</v>
      </c>
      <c r="V14" s="97">
        <v>11544268.42</v>
      </c>
      <c r="W14" s="97">
        <v>2112288.02</v>
      </c>
      <c r="X14" s="128">
        <v>0</v>
      </c>
      <c r="Y14" s="97">
        <f t="shared" si="3"/>
        <v>13601054.54</v>
      </c>
      <c r="Z14" s="97">
        <f t="shared" si="4"/>
        <v>3637547.4100000006</v>
      </c>
      <c r="AA14" s="97">
        <f t="shared" si="5"/>
        <v>0</v>
      </c>
      <c r="AB14" s="135"/>
      <c r="AC14" s="93"/>
      <c r="AD14" s="93"/>
      <c r="AE14" s="94">
        <f t="shared" si="6"/>
        <v>0</v>
      </c>
      <c r="AF14" s="94">
        <f t="shared" si="7"/>
        <v>0</v>
      </c>
      <c r="AG14" s="94">
        <f t="shared" si="8"/>
        <v>0</v>
      </c>
      <c r="AH14" s="97">
        <f t="shared" si="9"/>
        <v>49503574.339999996</v>
      </c>
      <c r="AI14" s="97">
        <f t="shared" si="10"/>
        <v>8756150.15</v>
      </c>
      <c r="AJ14" s="97">
        <f t="shared" si="11"/>
        <v>125825.5</v>
      </c>
      <c r="AK14" s="97">
        <f t="shared" si="12"/>
        <v>58385549.989999995</v>
      </c>
    </row>
    <row r="15" spans="1:37" ht="21">
      <c r="A15" s="95">
        <v>9</v>
      </c>
      <c r="B15" s="93" t="s">
        <v>281</v>
      </c>
      <c r="C15" s="93" t="s">
        <v>283</v>
      </c>
      <c r="D15" s="97">
        <v>0</v>
      </c>
      <c r="E15" s="97">
        <v>1956798.68</v>
      </c>
      <c r="F15" s="97">
        <v>790</v>
      </c>
      <c r="G15" s="97">
        <v>689000</v>
      </c>
      <c r="H15" s="98">
        <v>0</v>
      </c>
      <c r="I15" s="97">
        <v>0</v>
      </c>
      <c r="J15" s="97">
        <v>0</v>
      </c>
      <c r="K15" s="97">
        <v>4834</v>
      </c>
      <c r="L15" s="97">
        <v>0</v>
      </c>
      <c r="M15" s="97">
        <v>0</v>
      </c>
      <c r="N15" s="97">
        <v>357735</v>
      </c>
      <c r="O15" s="97">
        <v>0</v>
      </c>
      <c r="P15" s="94">
        <f t="shared" si="0"/>
        <v>689000</v>
      </c>
      <c r="Q15" s="94">
        <f t="shared" si="1"/>
        <v>2319367.6799999997</v>
      </c>
      <c r="R15" s="94">
        <f t="shared" si="2"/>
        <v>790</v>
      </c>
      <c r="S15" s="97">
        <v>0</v>
      </c>
      <c r="T15" s="97">
        <v>1883574.9500000002</v>
      </c>
      <c r="U15" s="97">
        <v>0</v>
      </c>
      <c r="V15" s="97">
        <v>3964245.38</v>
      </c>
      <c r="W15" s="97">
        <v>1562305.1</v>
      </c>
      <c r="X15" s="128">
        <v>0</v>
      </c>
      <c r="Y15" s="97">
        <f t="shared" si="3"/>
        <v>3964245.38</v>
      </c>
      <c r="Z15" s="97">
        <f t="shared" si="4"/>
        <v>3445880.0500000003</v>
      </c>
      <c r="AA15" s="97">
        <f t="shared" si="5"/>
        <v>0</v>
      </c>
      <c r="AB15" s="135"/>
      <c r="AC15" s="93"/>
      <c r="AD15" s="93"/>
      <c r="AE15" s="94">
        <f t="shared" si="6"/>
        <v>0</v>
      </c>
      <c r="AF15" s="94">
        <f t="shared" si="7"/>
        <v>0</v>
      </c>
      <c r="AG15" s="94">
        <f t="shared" si="8"/>
        <v>0</v>
      </c>
      <c r="AH15" s="97">
        <f t="shared" si="9"/>
        <v>4653245.38</v>
      </c>
      <c r="AI15" s="97">
        <f t="shared" si="10"/>
        <v>5765247.73</v>
      </c>
      <c r="AJ15" s="97">
        <f t="shared" si="11"/>
        <v>790</v>
      </c>
      <c r="AK15" s="97">
        <f t="shared" si="12"/>
        <v>10419283.11</v>
      </c>
    </row>
    <row r="16" spans="1:37" ht="21">
      <c r="A16" s="95">
        <v>10</v>
      </c>
      <c r="B16" s="93" t="s">
        <v>281</v>
      </c>
      <c r="C16" s="93" t="s">
        <v>284</v>
      </c>
      <c r="D16" s="97">
        <v>22170731.380000003</v>
      </c>
      <c r="E16" s="97">
        <v>4728846.71</v>
      </c>
      <c r="F16" s="97">
        <v>78484.5</v>
      </c>
      <c r="G16" s="97">
        <v>429122</v>
      </c>
      <c r="H16" s="98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893950</v>
      </c>
      <c r="O16" s="97">
        <v>0</v>
      </c>
      <c r="P16" s="94">
        <f t="shared" si="0"/>
        <v>22599853.380000003</v>
      </c>
      <c r="Q16" s="94">
        <f t="shared" si="1"/>
        <v>5622796.71</v>
      </c>
      <c r="R16" s="94">
        <f t="shared" si="2"/>
        <v>78484.5</v>
      </c>
      <c r="S16" s="97">
        <v>10000</v>
      </c>
      <c r="T16" s="97">
        <v>3474437.91</v>
      </c>
      <c r="U16" s="97">
        <v>0</v>
      </c>
      <c r="V16" s="97">
        <v>8731208.73</v>
      </c>
      <c r="W16" s="97">
        <v>1691462.2200000002</v>
      </c>
      <c r="X16" s="128">
        <v>0</v>
      </c>
      <c r="Y16" s="97">
        <f t="shared" si="3"/>
        <v>8741208.73</v>
      </c>
      <c r="Z16" s="97">
        <f t="shared" si="4"/>
        <v>5165900.130000001</v>
      </c>
      <c r="AA16" s="97">
        <f t="shared" si="5"/>
        <v>0</v>
      </c>
      <c r="AB16" s="135"/>
      <c r="AC16" s="93"/>
      <c r="AD16" s="93"/>
      <c r="AE16" s="94">
        <f t="shared" si="6"/>
        <v>0</v>
      </c>
      <c r="AF16" s="94">
        <f t="shared" si="7"/>
        <v>0</v>
      </c>
      <c r="AG16" s="94">
        <f t="shared" si="8"/>
        <v>0</v>
      </c>
      <c r="AH16" s="97">
        <f t="shared" si="9"/>
        <v>31341062.110000003</v>
      </c>
      <c r="AI16" s="97">
        <f t="shared" si="10"/>
        <v>10788696.84</v>
      </c>
      <c r="AJ16" s="97">
        <f t="shared" si="11"/>
        <v>78484.5</v>
      </c>
      <c r="AK16" s="97">
        <f t="shared" si="12"/>
        <v>42208243.45</v>
      </c>
    </row>
    <row r="17" spans="1:37" ht="21">
      <c r="A17" s="95">
        <v>11</v>
      </c>
      <c r="B17" s="93" t="s">
        <v>285</v>
      </c>
      <c r="C17" s="93" t="s">
        <v>282</v>
      </c>
      <c r="D17" s="93"/>
      <c r="E17" s="93"/>
      <c r="F17" s="93"/>
      <c r="G17" s="93"/>
      <c r="H17" s="94"/>
      <c r="I17" s="93"/>
      <c r="J17" s="93"/>
      <c r="K17" s="93"/>
      <c r="L17" s="93"/>
      <c r="M17" s="93"/>
      <c r="N17" s="94"/>
      <c r="O17" s="93"/>
      <c r="P17" s="94">
        <f t="shared" si="0"/>
        <v>0</v>
      </c>
      <c r="Q17" s="94">
        <f t="shared" si="1"/>
        <v>0</v>
      </c>
      <c r="R17" s="94">
        <f t="shared" si="2"/>
        <v>0</v>
      </c>
      <c r="S17" s="93"/>
      <c r="T17" s="93"/>
      <c r="U17" s="93"/>
      <c r="V17" s="94">
        <v>924243.09</v>
      </c>
      <c r="W17" s="94">
        <f>519962.36+29716.46</f>
        <v>549678.82</v>
      </c>
      <c r="X17" s="126"/>
      <c r="Y17" s="97">
        <f t="shared" si="3"/>
        <v>924243.09</v>
      </c>
      <c r="Z17" s="97">
        <f t="shared" si="4"/>
        <v>549678.82</v>
      </c>
      <c r="AA17" s="97">
        <f t="shared" si="5"/>
        <v>0</v>
      </c>
      <c r="AB17" s="135"/>
      <c r="AC17" s="93"/>
      <c r="AD17" s="93"/>
      <c r="AE17" s="94">
        <f t="shared" si="6"/>
        <v>0</v>
      </c>
      <c r="AF17" s="94">
        <f t="shared" si="7"/>
        <v>0</v>
      </c>
      <c r="AG17" s="94">
        <f t="shared" si="8"/>
        <v>0</v>
      </c>
      <c r="AH17" s="97">
        <f t="shared" si="9"/>
        <v>924243.09</v>
      </c>
      <c r="AI17" s="97">
        <f t="shared" si="10"/>
        <v>549678.82</v>
      </c>
      <c r="AJ17" s="97">
        <f t="shared" si="11"/>
        <v>0</v>
      </c>
      <c r="AK17" s="97">
        <f t="shared" si="12"/>
        <v>1473921.91</v>
      </c>
    </row>
    <row r="18" spans="1:37" ht="21">
      <c r="A18" s="95">
        <v>12</v>
      </c>
      <c r="B18" s="93" t="s">
        <v>285</v>
      </c>
      <c r="C18" s="93" t="s">
        <v>283</v>
      </c>
      <c r="D18" s="94">
        <v>16113626.73</v>
      </c>
      <c r="E18" s="94">
        <f>485450+5836</f>
        <v>491286</v>
      </c>
      <c r="F18" s="94">
        <v>122161</v>
      </c>
      <c r="G18" s="94"/>
      <c r="H18" s="94">
        <v>7460</v>
      </c>
      <c r="I18" s="93"/>
      <c r="J18" s="94">
        <v>14524</v>
      </c>
      <c r="K18" s="94"/>
      <c r="L18" s="93"/>
      <c r="M18" s="94"/>
      <c r="N18" s="94">
        <f>138800</f>
        <v>138800</v>
      </c>
      <c r="O18" s="93"/>
      <c r="P18" s="94">
        <f t="shared" si="0"/>
        <v>16128150.73</v>
      </c>
      <c r="Q18" s="94">
        <f t="shared" si="1"/>
        <v>637546</v>
      </c>
      <c r="R18" s="94">
        <f t="shared" si="2"/>
        <v>122161</v>
      </c>
      <c r="S18" s="94">
        <v>1752258.76</v>
      </c>
      <c r="T18" s="94">
        <v>191968.49</v>
      </c>
      <c r="U18" s="93"/>
      <c r="V18" s="94">
        <f>6582068.93+1074794.52+721411.68+2+10637.56</f>
        <v>8388914.69</v>
      </c>
      <c r="W18" s="94">
        <f>351714.15+497828.63+29815.18-17550</f>
        <v>861807.9600000001</v>
      </c>
      <c r="X18" s="126"/>
      <c r="Y18" s="97">
        <f t="shared" si="3"/>
        <v>10141173.45</v>
      </c>
      <c r="Z18" s="97">
        <f t="shared" si="4"/>
        <v>1053776.4500000002</v>
      </c>
      <c r="AA18" s="97">
        <f t="shared" si="5"/>
        <v>0</v>
      </c>
      <c r="AB18" s="135"/>
      <c r="AC18" s="94">
        <v>226896</v>
      </c>
      <c r="AD18" s="93"/>
      <c r="AE18" s="94">
        <f t="shared" si="6"/>
        <v>0</v>
      </c>
      <c r="AF18" s="94">
        <f t="shared" si="7"/>
        <v>226896</v>
      </c>
      <c r="AG18" s="94">
        <f t="shared" si="8"/>
        <v>0</v>
      </c>
      <c r="AH18" s="97">
        <f t="shared" si="9"/>
        <v>26269324.18</v>
      </c>
      <c r="AI18" s="97">
        <f t="shared" si="10"/>
        <v>1918218.4500000002</v>
      </c>
      <c r="AJ18" s="97">
        <f t="shared" si="11"/>
        <v>122161</v>
      </c>
      <c r="AK18" s="97">
        <f t="shared" si="12"/>
        <v>28309703.63</v>
      </c>
    </row>
    <row r="19" spans="1:37" ht="21">
      <c r="A19" s="95">
        <v>13</v>
      </c>
      <c r="B19" s="93" t="s">
        <v>285</v>
      </c>
      <c r="C19" s="93" t="s">
        <v>286</v>
      </c>
      <c r="D19" s="94">
        <v>5495667.23</v>
      </c>
      <c r="E19" s="94">
        <v>303278</v>
      </c>
      <c r="F19" s="94">
        <v>73650</v>
      </c>
      <c r="G19" s="94">
        <v>43000</v>
      </c>
      <c r="H19" s="94">
        <v>6700</v>
      </c>
      <c r="I19" s="93"/>
      <c r="J19" s="94">
        <v>5476</v>
      </c>
      <c r="K19" s="94">
        <v>8696</v>
      </c>
      <c r="L19" s="93"/>
      <c r="M19" s="94"/>
      <c r="N19" s="94">
        <f>139500</f>
        <v>139500</v>
      </c>
      <c r="O19" s="93"/>
      <c r="P19" s="94">
        <f t="shared" si="0"/>
        <v>5544143.23</v>
      </c>
      <c r="Q19" s="94">
        <f t="shared" si="1"/>
        <v>458174</v>
      </c>
      <c r="R19" s="94">
        <f t="shared" si="2"/>
        <v>73650</v>
      </c>
      <c r="S19" s="94">
        <v>190192.19</v>
      </c>
      <c r="T19" s="94">
        <v>348458.54</v>
      </c>
      <c r="U19" s="93"/>
      <c r="V19" s="94">
        <v>3880429.1</v>
      </c>
      <c r="W19" s="94">
        <f>101444.86+1063.33</f>
        <v>102508.19</v>
      </c>
      <c r="X19" s="126"/>
      <c r="Y19" s="97">
        <f t="shared" si="3"/>
        <v>4070621.29</v>
      </c>
      <c r="Z19" s="97">
        <f t="shared" si="4"/>
        <v>450966.73</v>
      </c>
      <c r="AA19" s="97">
        <f t="shared" si="5"/>
        <v>0</v>
      </c>
      <c r="AB19" s="135"/>
      <c r="AC19" s="94">
        <v>82106</v>
      </c>
      <c r="AD19" s="93"/>
      <c r="AE19" s="94">
        <f t="shared" si="6"/>
        <v>0</v>
      </c>
      <c r="AF19" s="94">
        <f t="shared" si="7"/>
        <v>82106</v>
      </c>
      <c r="AG19" s="94">
        <f t="shared" si="8"/>
        <v>0</v>
      </c>
      <c r="AH19" s="97">
        <f t="shared" si="9"/>
        <v>9614764.52</v>
      </c>
      <c r="AI19" s="97">
        <f t="shared" si="10"/>
        <v>991246.73</v>
      </c>
      <c r="AJ19" s="97">
        <f t="shared" si="11"/>
        <v>73650</v>
      </c>
      <c r="AK19" s="97">
        <f t="shared" si="12"/>
        <v>10679661.25</v>
      </c>
    </row>
    <row r="20" spans="1:42" ht="21">
      <c r="A20" s="95">
        <v>14</v>
      </c>
      <c r="B20" s="93" t="s">
        <v>285</v>
      </c>
      <c r="C20" s="93" t="s">
        <v>287</v>
      </c>
      <c r="D20" s="94">
        <v>22730701.03</v>
      </c>
      <c r="E20" s="94">
        <f>3810462.94+23983</f>
        <v>3834445.94</v>
      </c>
      <c r="F20" s="94">
        <v>22200</v>
      </c>
      <c r="G20" s="94">
        <v>12607.43</v>
      </c>
      <c r="H20" s="94">
        <v>148390</v>
      </c>
      <c r="I20" s="93"/>
      <c r="J20" s="94"/>
      <c r="K20" s="94">
        <v>136527</v>
      </c>
      <c r="L20" s="93"/>
      <c r="M20" s="94"/>
      <c r="N20" s="94">
        <f>420000</f>
        <v>420000</v>
      </c>
      <c r="O20" s="93"/>
      <c r="P20" s="94">
        <f t="shared" si="0"/>
        <v>22743308.46</v>
      </c>
      <c r="Q20" s="94">
        <f t="shared" si="1"/>
        <v>4539362.9399999995</v>
      </c>
      <c r="R20" s="94">
        <f t="shared" si="2"/>
        <v>22200</v>
      </c>
      <c r="S20" s="94">
        <v>35000.1</v>
      </c>
      <c r="T20" s="94">
        <v>1626019.63</v>
      </c>
      <c r="U20" s="93"/>
      <c r="V20" s="94">
        <f>11154332.28+728413.01</f>
        <v>11882745.29</v>
      </c>
      <c r="W20" s="94">
        <f>452711.51+18375</f>
        <v>471086.51</v>
      </c>
      <c r="X20" s="126"/>
      <c r="Y20" s="97">
        <f t="shared" si="3"/>
        <v>11917745.389999999</v>
      </c>
      <c r="Z20" s="97">
        <f t="shared" si="4"/>
        <v>2097106.14</v>
      </c>
      <c r="AA20" s="97">
        <f t="shared" si="5"/>
        <v>0</v>
      </c>
      <c r="AB20" s="135"/>
      <c r="AC20" s="94">
        <v>616120</v>
      </c>
      <c r="AD20" s="93"/>
      <c r="AE20" s="94">
        <f t="shared" si="6"/>
        <v>0</v>
      </c>
      <c r="AF20" s="94">
        <f t="shared" si="7"/>
        <v>616120</v>
      </c>
      <c r="AG20" s="94">
        <f t="shared" si="8"/>
        <v>0</v>
      </c>
      <c r="AH20" s="97">
        <f t="shared" si="9"/>
        <v>34661053.85</v>
      </c>
      <c r="AI20" s="97">
        <f t="shared" si="10"/>
        <v>7252589.079999999</v>
      </c>
      <c r="AJ20" s="97">
        <f t="shared" si="11"/>
        <v>22200</v>
      </c>
      <c r="AK20" s="97">
        <f t="shared" si="12"/>
        <v>41935842.93</v>
      </c>
      <c r="AM20" s="89"/>
      <c r="AN20" s="89"/>
      <c r="AO20" s="89"/>
      <c r="AP20" s="89"/>
    </row>
    <row r="21" spans="1:42" ht="21">
      <c r="A21" s="95">
        <v>15</v>
      </c>
      <c r="B21" s="93" t="s">
        <v>288</v>
      </c>
      <c r="C21" s="93" t="s">
        <v>289</v>
      </c>
      <c r="D21" s="94">
        <v>21905411.92</v>
      </c>
      <c r="E21" s="94">
        <v>1118129.04</v>
      </c>
      <c r="F21" s="94">
        <v>270905</v>
      </c>
      <c r="G21" s="94">
        <v>389046</v>
      </c>
      <c r="H21" s="94">
        <v>58450</v>
      </c>
      <c r="I21" s="94"/>
      <c r="J21" s="94">
        <v>61082</v>
      </c>
      <c r="K21" s="94">
        <v>7756</v>
      </c>
      <c r="L21" s="94"/>
      <c r="M21" s="94"/>
      <c r="N21" s="94">
        <v>1437680</v>
      </c>
      <c r="O21" s="94"/>
      <c r="P21" s="94">
        <f t="shared" si="0"/>
        <v>22355539.92</v>
      </c>
      <c r="Q21" s="94">
        <f t="shared" si="1"/>
        <v>2622015.04</v>
      </c>
      <c r="R21" s="94">
        <f t="shared" si="2"/>
        <v>270905</v>
      </c>
      <c r="S21" s="94">
        <v>1596380.23</v>
      </c>
      <c r="T21" s="94">
        <v>876543.5</v>
      </c>
      <c r="U21" s="94"/>
      <c r="V21" s="94">
        <v>4958181.35</v>
      </c>
      <c r="W21" s="94">
        <v>384707.24</v>
      </c>
      <c r="X21" s="127"/>
      <c r="Y21" s="97">
        <f t="shared" si="3"/>
        <v>6554561.58</v>
      </c>
      <c r="Z21" s="97">
        <f t="shared" si="4"/>
        <v>1261250.74</v>
      </c>
      <c r="AA21" s="97">
        <f t="shared" si="5"/>
        <v>0</v>
      </c>
      <c r="AB21" s="136"/>
      <c r="AC21" s="94">
        <v>185000</v>
      </c>
      <c r="AD21" s="93"/>
      <c r="AE21" s="94">
        <f t="shared" si="6"/>
        <v>0</v>
      </c>
      <c r="AF21" s="94">
        <f t="shared" si="7"/>
        <v>185000</v>
      </c>
      <c r="AG21" s="94">
        <f t="shared" si="8"/>
        <v>0</v>
      </c>
      <c r="AH21" s="97">
        <f t="shared" si="9"/>
        <v>28910101.5</v>
      </c>
      <c r="AI21" s="97">
        <f t="shared" si="10"/>
        <v>4068265.7800000003</v>
      </c>
      <c r="AJ21" s="97">
        <f t="shared" si="11"/>
        <v>270905</v>
      </c>
      <c r="AK21" s="97">
        <f t="shared" si="12"/>
        <v>33249272.28</v>
      </c>
      <c r="AM21" s="89"/>
      <c r="AN21" s="89"/>
      <c r="AO21" s="89"/>
      <c r="AP21" s="89"/>
    </row>
    <row r="22" spans="1:42" ht="21">
      <c r="A22" s="95">
        <v>16</v>
      </c>
      <c r="B22" s="93" t="s">
        <v>288</v>
      </c>
      <c r="C22" s="93" t="s">
        <v>196</v>
      </c>
      <c r="D22" s="94">
        <v>8749275.65</v>
      </c>
      <c r="E22" s="94">
        <v>1723249.81</v>
      </c>
      <c r="F22" s="94">
        <v>94980</v>
      </c>
      <c r="G22" s="94">
        <v>64800</v>
      </c>
      <c r="H22" s="94">
        <v>145264</v>
      </c>
      <c r="I22" s="94"/>
      <c r="J22" s="94"/>
      <c r="K22" s="94">
        <v>48911.99</v>
      </c>
      <c r="L22" s="94"/>
      <c r="M22" s="94"/>
      <c r="N22" s="94">
        <v>472460</v>
      </c>
      <c r="O22" s="94"/>
      <c r="P22" s="94">
        <f t="shared" si="0"/>
        <v>8814075.65</v>
      </c>
      <c r="Q22" s="94">
        <f t="shared" si="1"/>
        <v>2389885.8</v>
      </c>
      <c r="R22" s="94">
        <f t="shared" si="2"/>
        <v>94980</v>
      </c>
      <c r="S22" s="94">
        <v>27992</v>
      </c>
      <c r="T22" s="94">
        <v>523840.34</v>
      </c>
      <c r="U22" s="94"/>
      <c r="V22" s="94">
        <v>2261108.97</v>
      </c>
      <c r="W22" s="94">
        <v>27764.2</v>
      </c>
      <c r="X22" s="127"/>
      <c r="Y22" s="97">
        <f t="shared" si="3"/>
        <v>2289100.97</v>
      </c>
      <c r="Z22" s="97">
        <f t="shared" si="4"/>
        <v>551604.54</v>
      </c>
      <c r="AA22" s="97">
        <f t="shared" si="5"/>
        <v>0</v>
      </c>
      <c r="AB22" s="136"/>
      <c r="AC22" s="94">
        <v>140000</v>
      </c>
      <c r="AD22" s="93"/>
      <c r="AE22" s="94">
        <f t="shared" si="6"/>
        <v>0</v>
      </c>
      <c r="AF22" s="94">
        <f t="shared" si="7"/>
        <v>140000</v>
      </c>
      <c r="AG22" s="94">
        <f t="shared" si="8"/>
        <v>0</v>
      </c>
      <c r="AH22" s="97">
        <f t="shared" si="9"/>
        <v>11103176.620000001</v>
      </c>
      <c r="AI22" s="97">
        <f t="shared" si="10"/>
        <v>3081490.34</v>
      </c>
      <c r="AJ22" s="97">
        <f t="shared" si="11"/>
        <v>94980</v>
      </c>
      <c r="AK22" s="97">
        <f t="shared" si="12"/>
        <v>14279646.96</v>
      </c>
      <c r="AM22" s="89"/>
      <c r="AN22" s="89"/>
      <c r="AO22" s="89"/>
      <c r="AP22" s="89"/>
    </row>
    <row r="23" spans="1:42" ht="21.75" thickBot="1">
      <c r="A23" s="99">
        <v>17</v>
      </c>
      <c r="B23" s="100" t="s">
        <v>288</v>
      </c>
      <c r="C23" s="100" t="s">
        <v>290</v>
      </c>
      <c r="D23" s="101">
        <v>16636046.87</v>
      </c>
      <c r="E23" s="101">
        <v>1947440</v>
      </c>
      <c r="F23" s="101">
        <v>5000</v>
      </c>
      <c r="G23" s="101"/>
      <c r="H23" s="101">
        <v>304950</v>
      </c>
      <c r="I23" s="101"/>
      <c r="J23" s="101">
        <v>56574.62</v>
      </c>
      <c r="K23" s="101">
        <v>90673.76</v>
      </c>
      <c r="L23" s="101"/>
      <c r="M23" s="101"/>
      <c r="N23" s="101">
        <v>831360</v>
      </c>
      <c r="O23" s="101"/>
      <c r="P23" s="94">
        <f aca="true" t="shared" si="13" ref="P23:P46">+D23+G23+J23+M23</f>
        <v>16692621.489999998</v>
      </c>
      <c r="Q23" s="94">
        <f aca="true" t="shared" si="14" ref="Q23:Q46">+E23+H23+K23+N23</f>
        <v>3174423.76</v>
      </c>
      <c r="R23" s="94">
        <f aca="true" t="shared" si="15" ref="R23:R46">+F23+I23+L23+O23</f>
        <v>5000</v>
      </c>
      <c r="S23" s="101">
        <v>407198</v>
      </c>
      <c r="T23" s="101">
        <v>1091968.04</v>
      </c>
      <c r="U23" s="101"/>
      <c r="V23" s="101">
        <v>2996118.51</v>
      </c>
      <c r="W23" s="101">
        <v>657230.75</v>
      </c>
      <c r="X23" s="129"/>
      <c r="Y23" s="97">
        <f t="shared" si="3"/>
        <v>3403316.51</v>
      </c>
      <c r="Z23" s="97">
        <f t="shared" si="4"/>
        <v>1749198.79</v>
      </c>
      <c r="AA23" s="97">
        <f t="shared" si="5"/>
        <v>0</v>
      </c>
      <c r="AB23" s="137"/>
      <c r="AC23" s="101">
        <v>230000</v>
      </c>
      <c r="AD23" s="100"/>
      <c r="AE23" s="94">
        <f t="shared" si="6"/>
        <v>0</v>
      </c>
      <c r="AF23" s="94">
        <f t="shared" si="7"/>
        <v>230000</v>
      </c>
      <c r="AG23" s="94">
        <f t="shared" si="8"/>
        <v>0</v>
      </c>
      <c r="AH23" s="97">
        <f t="shared" si="9"/>
        <v>20095938</v>
      </c>
      <c r="AI23" s="97">
        <f t="shared" si="10"/>
        <v>5153622.55</v>
      </c>
      <c r="AJ23" s="97">
        <f t="shared" si="11"/>
        <v>5000</v>
      </c>
      <c r="AK23" s="97">
        <f t="shared" si="12"/>
        <v>25254560.55</v>
      </c>
      <c r="AM23" s="102"/>
      <c r="AN23" s="102"/>
      <c r="AO23" s="102"/>
      <c r="AP23" s="102"/>
    </row>
    <row r="24" spans="1:42" ht="21.75" thickBot="1">
      <c r="A24" s="275" t="s">
        <v>291</v>
      </c>
      <c r="B24" s="276"/>
      <c r="C24" s="277"/>
      <c r="D24" s="103">
        <f>SUM(D7:D23)</f>
        <v>313304754.48999995</v>
      </c>
      <c r="E24" s="103">
        <f aca="true" t="shared" si="16" ref="E24:AK24">SUM(E7:E23)</f>
        <v>39339900.79</v>
      </c>
      <c r="F24" s="103">
        <f t="shared" si="16"/>
        <v>1636633.1</v>
      </c>
      <c r="G24" s="103">
        <f t="shared" si="16"/>
        <v>3031009.43</v>
      </c>
      <c r="H24" s="103">
        <f t="shared" si="16"/>
        <v>3806679</v>
      </c>
      <c r="I24" s="103">
        <f t="shared" si="16"/>
        <v>0</v>
      </c>
      <c r="J24" s="103">
        <f t="shared" si="16"/>
        <v>266859.42</v>
      </c>
      <c r="K24" s="103">
        <f t="shared" si="16"/>
        <v>885284.44</v>
      </c>
      <c r="L24" s="103">
        <f t="shared" si="16"/>
        <v>0</v>
      </c>
      <c r="M24" s="103">
        <f t="shared" si="16"/>
        <v>0</v>
      </c>
      <c r="N24" s="103">
        <f t="shared" si="16"/>
        <v>6959754</v>
      </c>
      <c r="O24" s="103">
        <f t="shared" si="16"/>
        <v>0</v>
      </c>
      <c r="P24" s="103">
        <f t="shared" si="16"/>
        <v>316602623.34</v>
      </c>
      <c r="Q24" s="103">
        <f t="shared" si="16"/>
        <v>50991618.23</v>
      </c>
      <c r="R24" s="103">
        <f t="shared" si="16"/>
        <v>1636633.1</v>
      </c>
      <c r="S24" s="103">
        <f t="shared" si="16"/>
        <v>23727038.940000005</v>
      </c>
      <c r="T24" s="103">
        <f t="shared" si="16"/>
        <v>56196425.32000002</v>
      </c>
      <c r="U24" s="103">
        <f t="shared" si="16"/>
        <v>0</v>
      </c>
      <c r="V24" s="103">
        <f t="shared" si="16"/>
        <v>173254488.67999995</v>
      </c>
      <c r="W24" s="103">
        <f t="shared" si="16"/>
        <v>23891083.68</v>
      </c>
      <c r="X24" s="103">
        <f t="shared" si="16"/>
        <v>0</v>
      </c>
      <c r="Y24" s="103">
        <f t="shared" si="16"/>
        <v>196981527.61999995</v>
      </c>
      <c r="Z24" s="103">
        <f t="shared" si="16"/>
        <v>80087509.00000001</v>
      </c>
      <c r="AA24" s="103">
        <f t="shared" si="16"/>
        <v>0</v>
      </c>
      <c r="AB24" s="103">
        <f t="shared" si="16"/>
        <v>52596</v>
      </c>
      <c r="AC24" s="103">
        <f t="shared" si="16"/>
        <v>6644152</v>
      </c>
      <c r="AD24" s="103">
        <f t="shared" si="16"/>
        <v>0</v>
      </c>
      <c r="AE24" s="103">
        <f t="shared" si="16"/>
        <v>52596</v>
      </c>
      <c r="AF24" s="103">
        <f t="shared" si="16"/>
        <v>6644152</v>
      </c>
      <c r="AG24" s="103">
        <f t="shared" si="16"/>
        <v>0</v>
      </c>
      <c r="AH24" s="103">
        <f t="shared" si="16"/>
        <v>513636746.96</v>
      </c>
      <c r="AI24" s="103">
        <f t="shared" si="16"/>
        <v>137723279.23000002</v>
      </c>
      <c r="AJ24" s="103">
        <f t="shared" si="16"/>
        <v>1636633.1</v>
      </c>
      <c r="AK24" s="103">
        <f t="shared" si="16"/>
        <v>652996659.29</v>
      </c>
      <c r="AM24" s="102"/>
      <c r="AN24" s="102"/>
      <c r="AO24" s="102"/>
      <c r="AP24" s="102"/>
    </row>
    <row r="25" spans="1:42" ht="21">
      <c r="A25" s="259" t="s">
        <v>292</v>
      </c>
      <c r="B25" s="259"/>
      <c r="C25" s="259"/>
      <c r="D25" s="104"/>
      <c r="E25" s="104"/>
      <c r="F25" s="104"/>
      <c r="G25" s="104"/>
      <c r="H25" s="105"/>
      <c r="I25" s="104"/>
      <c r="J25" s="104"/>
      <c r="K25" s="104"/>
      <c r="L25" s="104"/>
      <c r="M25" s="104"/>
      <c r="N25" s="104"/>
      <c r="O25" s="104"/>
      <c r="P25" s="94">
        <f t="shared" si="13"/>
        <v>0</v>
      </c>
      <c r="Q25" s="94">
        <f t="shared" si="14"/>
        <v>0</v>
      </c>
      <c r="R25" s="94">
        <f t="shared" si="15"/>
        <v>0</v>
      </c>
      <c r="S25" s="104"/>
      <c r="T25" s="104"/>
      <c r="U25" s="104"/>
      <c r="V25" s="104"/>
      <c r="W25" s="104"/>
      <c r="X25" s="130"/>
      <c r="Y25" s="97">
        <f t="shared" si="3"/>
        <v>0</v>
      </c>
      <c r="Z25" s="97">
        <f t="shared" si="4"/>
        <v>0</v>
      </c>
      <c r="AA25" s="97">
        <f t="shared" si="5"/>
        <v>0</v>
      </c>
      <c r="AB25" s="138"/>
      <c r="AC25" s="104"/>
      <c r="AD25" s="104"/>
      <c r="AE25" s="94">
        <f t="shared" si="6"/>
        <v>0</v>
      </c>
      <c r="AF25" s="94">
        <f t="shared" si="7"/>
        <v>0</v>
      </c>
      <c r="AG25" s="94">
        <f t="shared" si="8"/>
        <v>0</v>
      </c>
      <c r="AH25" s="97">
        <f t="shared" si="9"/>
        <v>0</v>
      </c>
      <c r="AI25" s="97">
        <f t="shared" si="10"/>
        <v>0</v>
      </c>
      <c r="AJ25" s="97">
        <f t="shared" si="11"/>
        <v>0</v>
      </c>
      <c r="AK25" s="104"/>
      <c r="AM25" s="102"/>
      <c r="AN25" s="102"/>
      <c r="AO25" s="102"/>
      <c r="AP25" s="102"/>
    </row>
    <row r="26" spans="1:39" ht="21">
      <c r="A26" s="95">
        <v>18</v>
      </c>
      <c r="B26" s="93" t="s">
        <v>293</v>
      </c>
      <c r="C26" s="106" t="s">
        <v>294</v>
      </c>
      <c r="D26" s="94">
        <v>262037339.09</v>
      </c>
      <c r="E26" s="94">
        <v>11588183.85</v>
      </c>
      <c r="F26" s="94">
        <v>10301779.93</v>
      </c>
      <c r="G26" s="94">
        <v>496647.49</v>
      </c>
      <c r="H26" s="94">
        <v>11500674.67</v>
      </c>
      <c r="I26" s="94">
        <v>0</v>
      </c>
      <c r="J26" s="94">
        <v>773403.4</v>
      </c>
      <c r="K26" s="94">
        <v>24434</v>
      </c>
      <c r="L26" s="94">
        <v>0</v>
      </c>
      <c r="M26" s="94">
        <v>0</v>
      </c>
      <c r="N26" s="94">
        <v>0</v>
      </c>
      <c r="O26" s="94">
        <v>0</v>
      </c>
      <c r="P26" s="94">
        <f t="shared" si="13"/>
        <v>263307389.98000002</v>
      </c>
      <c r="Q26" s="94">
        <f t="shared" si="14"/>
        <v>23113292.52</v>
      </c>
      <c r="R26" s="94">
        <f t="shared" si="15"/>
        <v>10301779.93</v>
      </c>
      <c r="S26" s="94">
        <v>36286144.22</v>
      </c>
      <c r="T26" s="94">
        <v>30480422.889999997</v>
      </c>
      <c r="U26" s="94">
        <v>0</v>
      </c>
      <c r="V26" s="94">
        <v>17694687.24</v>
      </c>
      <c r="W26" s="94">
        <v>9141978.040000001</v>
      </c>
      <c r="X26" s="127">
        <v>0</v>
      </c>
      <c r="Y26" s="97">
        <f t="shared" si="3"/>
        <v>53980831.45999999</v>
      </c>
      <c r="Z26" s="97">
        <f t="shared" si="4"/>
        <v>39622400.93</v>
      </c>
      <c r="AA26" s="97">
        <f t="shared" si="5"/>
        <v>0</v>
      </c>
      <c r="AB26" s="136">
        <v>7579856.89</v>
      </c>
      <c r="AC26" s="94">
        <v>2808990</v>
      </c>
      <c r="AD26" s="94">
        <v>0</v>
      </c>
      <c r="AE26" s="94">
        <f t="shared" si="6"/>
        <v>7579856.89</v>
      </c>
      <c r="AF26" s="94">
        <f t="shared" si="7"/>
        <v>2808990</v>
      </c>
      <c r="AG26" s="94">
        <f t="shared" si="8"/>
        <v>0</v>
      </c>
      <c r="AH26" s="97">
        <f t="shared" si="9"/>
        <v>324868078.33</v>
      </c>
      <c r="AI26" s="97">
        <f t="shared" si="10"/>
        <v>65544683.45</v>
      </c>
      <c r="AJ26" s="97">
        <f t="shared" si="11"/>
        <v>10301779.93</v>
      </c>
      <c r="AK26" s="97">
        <f aca="true" t="shared" si="17" ref="AK26:AK32">AH26+AI26+AJ26</f>
        <v>400714541.71</v>
      </c>
      <c r="AM26" s="102"/>
    </row>
    <row r="27" spans="1:37" ht="21">
      <c r="A27" s="95">
        <v>19</v>
      </c>
      <c r="B27" s="93" t="s">
        <v>276</v>
      </c>
      <c r="C27" s="106" t="s">
        <v>295</v>
      </c>
      <c r="D27" s="107">
        <v>80869.04000000001</v>
      </c>
      <c r="E27" s="108">
        <v>5521187.38</v>
      </c>
      <c r="F27" s="108"/>
      <c r="G27" s="108">
        <v>248475.8</v>
      </c>
      <c r="H27" s="108">
        <v>1833678.3900000001</v>
      </c>
      <c r="I27" s="108"/>
      <c r="J27" s="108"/>
      <c r="K27" s="108"/>
      <c r="L27" s="108"/>
      <c r="M27" s="108"/>
      <c r="N27" s="108"/>
      <c r="O27" s="108"/>
      <c r="P27" s="94">
        <f t="shared" si="13"/>
        <v>329344.83999999997</v>
      </c>
      <c r="Q27" s="94">
        <f t="shared" si="14"/>
        <v>7354865.77</v>
      </c>
      <c r="R27" s="94">
        <f t="shared" si="15"/>
        <v>0</v>
      </c>
      <c r="S27" s="108">
        <v>3328746.11</v>
      </c>
      <c r="T27" s="108">
        <v>7800612.819999999</v>
      </c>
      <c r="U27" s="108"/>
      <c r="V27" s="108">
        <v>0</v>
      </c>
      <c r="W27" s="108">
        <v>0</v>
      </c>
      <c r="X27" s="131"/>
      <c r="Y27" s="97">
        <f t="shared" si="3"/>
        <v>3328746.11</v>
      </c>
      <c r="Z27" s="97">
        <f t="shared" si="4"/>
        <v>7800612.819999999</v>
      </c>
      <c r="AA27" s="97">
        <f t="shared" si="5"/>
        <v>0</v>
      </c>
      <c r="AB27" s="139">
        <v>4494</v>
      </c>
      <c r="AC27" s="109">
        <v>4249937.35</v>
      </c>
      <c r="AD27" s="108"/>
      <c r="AE27" s="94">
        <f t="shared" si="6"/>
        <v>4494</v>
      </c>
      <c r="AF27" s="94">
        <f t="shared" si="7"/>
        <v>4249937.35</v>
      </c>
      <c r="AG27" s="94">
        <f t="shared" si="8"/>
        <v>0</v>
      </c>
      <c r="AH27" s="97">
        <f t="shared" si="9"/>
        <v>3662584.9499999997</v>
      </c>
      <c r="AI27" s="97">
        <f t="shared" si="10"/>
        <v>19405415.939999998</v>
      </c>
      <c r="AJ27" s="97">
        <f t="shared" si="11"/>
        <v>0</v>
      </c>
      <c r="AK27" s="97">
        <f t="shared" si="17"/>
        <v>23068000.889999997</v>
      </c>
    </row>
    <row r="28" spans="1:37" ht="21">
      <c r="A28" s="95">
        <v>20</v>
      </c>
      <c r="B28" s="93" t="s">
        <v>281</v>
      </c>
      <c r="C28" s="106" t="s">
        <v>296</v>
      </c>
      <c r="D28" s="97">
        <v>4893844.38</v>
      </c>
      <c r="E28" s="97">
        <v>2781346.58</v>
      </c>
      <c r="F28" s="97">
        <v>15400</v>
      </c>
      <c r="G28" s="97">
        <v>0</v>
      </c>
      <c r="H28" s="98">
        <v>0</v>
      </c>
      <c r="I28" s="97">
        <v>0</v>
      </c>
      <c r="J28" s="97">
        <v>0</v>
      </c>
      <c r="K28" s="97">
        <v>4428</v>
      </c>
      <c r="L28" s="97">
        <v>0</v>
      </c>
      <c r="M28" s="97">
        <v>0</v>
      </c>
      <c r="N28" s="97">
        <v>0</v>
      </c>
      <c r="O28" s="97">
        <v>0</v>
      </c>
      <c r="P28" s="94">
        <f t="shared" si="13"/>
        <v>4893844.38</v>
      </c>
      <c r="Q28" s="94">
        <f t="shared" si="14"/>
        <v>2785774.58</v>
      </c>
      <c r="R28" s="94">
        <f t="shared" si="15"/>
        <v>15400</v>
      </c>
      <c r="S28" s="97">
        <v>1098590.39</v>
      </c>
      <c r="T28" s="97">
        <v>4877484.25</v>
      </c>
      <c r="U28" s="97">
        <v>0</v>
      </c>
      <c r="V28" s="97">
        <v>8886165.58</v>
      </c>
      <c r="W28" s="97">
        <v>5968788.710000001</v>
      </c>
      <c r="X28" s="128">
        <v>0</v>
      </c>
      <c r="Y28" s="97">
        <f t="shared" si="3"/>
        <v>9984755.97</v>
      </c>
      <c r="Z28" s="97">
        <f t="shared" si="4"/>
        <v>10846272.96</v>
      </c>
      <c r="AA28" s="97">
        <f t="shared" si="5"/>
        <v>0</v>
      </c>
      <c r="AB28" s="135"/>
      <c r="AC28" s="93"/>
      <c r="AD28" s="93"/>
      <c r="AE28" s="94">
        <f t="shared" si="6"/>
        <v>0</v>
      </c>
      <c r="AF28" s="94">
        <f t="shared" si="7"/>
        <v>0</v>
      </c>
      <c r="AG28" s="94">
        <f t="shared" si="8"/>
        <v>0</v>
      </c>
      <c r="AH28" s="97">
        <f t="shared" si="9"/>
        <v>14878600.350000001</v>
      </c>
      <c r="AI28" s="97">
        <f t="shared" si="10"/>
        <v>13632047.540000001</v>
      </c>
      <c r="AJ28" s="97">
        <f t="shared" si="11"/>
        <v>15400</v>
      </c>
      <c r="AK28" s="97">
        <f t="shared" si="17"/>
        <v>28526047.89</v>
      </c>
    </row>
    <row r="29" spans="1:37" ht="21">
      <c r="A29" s="95">
        <v>21</v>
      </c>
      <c r="B29" s="93" t="s">
        <v>285</v>
      </c>
      <c r="C29" s="106" t="s">
        <v>297</v>
      </c>
      <c r="D29" s="94">
        <v>7387514.77</v>
      </c>
      <c r="E29" s="94">
        <f>1292621.3+3700</f>
        <v>1296321.3</v>
      </c>
      <c r="F29" s="94">
        <v>28025</v>
      </c>
      <c r="G29" s="93"/>
      <c r="H29" s="94">
        <v>19862.4</v>
      </c>
      <c r="I29" s="93"/>
      <c r="J29" s="94">
        <v>50589</v>
      </c>
      <c r="K29" s="94">
        <v>11880</v>
      </c>
      <c r="L29" s="93"/>
      <c r="M29" s="93"/>
      <c r="N29" s="93"/>
      <c r="O29" s="93"/>
      <c r="P29" s="94">
        <f t="shared" si="13"/>
        <v>7438103.77</v>
      </c>
      <c r="Q29" s="94">
        <f t="shared" si="14"/>
        <v>1328063.7</v>
      </c>
      <c r="R29" s="94">
        <f t="shared" si="15"/>
        <v>28025</v>
      </c>
      <c r="S29" s="94">
        <v>1739597.99</v>
      </c>
      <c r="T29" s="94">
        <v>1010584.99</v>
      </c>
      <c r="U29" s="93"/>
      <c r="V29" s="94">
        <v>13675823.02</v>
      </c>
      <c r="W29" s="94">
        <f>2078043.84+107513.33+203436.13</f>
        <v>2388993.3</v>
      </c>
      <c r="X29" s="126"/>
      <c r="Y29" s="97">
        <f t="shared" si="3"/>
        <v>15415421.01</v>
      </c>
      <c r="Z29" s="97">
        <f t="shared" si="4"/>
        <v>3399578.29</v>
      </c>
      <c r="AA29" s="97">
        <f t="shared" si="5"/>
        <v>0</v>
      </c>
      <c r="AB29" s="135"/>
      <c r="AC29" s="93"/>
      <c r="AD29" s="93"/>
      <c r="AE29" s="94">
        <f t="shared" si="6"/>
        <v>0</v>
      </c>
      <c r="AF29" s="94">
        <f t="shared" si="7"/>
        <v>0</v>
      </c>
      <c r="AG29" s="94">
        <f t="shared" si="8"/>
        <v>0</v>
      </c>
      <c r="AH29" s="97">
        <f t="shared" si="9"/>
        <v>22853524.78</v>
      </c>
      <c r="AI29" s="97">
        <f t="shared" si="10"/>
        <v>4727641.99</v>
      </c>
      <c r="AJ29" s="97">
        <f t="shared" si="11"/>
        <v>28025</v>
      </c>
      <c r="AK29" s="97">
        <f t="shared" si="17"/>
        <v>27609191.770000003</v>
      </c>
    </row>
    <row r="30" spans="1:37" ht="21">
      <c r="A30" s="95">
        <v>22</v>
      </c>
      <c r="B30" s="93" t="s">
        <v>288</v>
      </c>
      <c r="C30" s="106" t="s">
        <v>298</v>
      </c>
      <c r="D30" s="94">
        <v>10996625.11</v>
      </c>
      <c r="E30" s="94">
        <v>2757155.29</v>
      </c>
      <c r="F30" s="94">
        <v>27362</v>
      </c>
      <c r="G30" s="94">
        <v>20000</v>
      </c>
      <c r="H30" s="94">
        <v>35800</v>
      </c>
      <c r="I30" s="94"/>
      <c r="J30" s="94">
        <v>62537.6</v>
      </c>
      <c r="K30" s="94">
        <v>15000</v>
      </c>
      <c r="L30" s="94"/>
      <c r="M30" s="94"/>
      <c r="N30" s="94"/>
      <c r="O30" s="94"/>
      <c r="P30" s="94">
        <f t="shared" si="13"/>
        <v>11079162.709999999</v>
      </c>
      <c r="Q30" s="94">
        <f t="shared" si="14"/>
        <v>2807955.29</v>
      </c>
      <c r="R30" s="94">
        <f t="shared" si="15"/>
        <v>27362</v>
      </c>
      <c r="S30" s="94">
        <v>2893046.2</v>
      </c>
      <c r="T30" s="94">
        <v>3247427.44</v>
      </c>
      <c r="U30" s="94"/>
      <c r="V30" s="94">
        <v>44253555.37</v>
      </c>
      <c r="W30" s="94">
        <v>11028911.22</v>
      </c>
      <c r="X30" s="127"/>
      <c r="Y30" s="97">
        <f t="shared" si="3"/>
        <v>47146601.57</v>
      </c>
      <c r="Z30" s="97">
        <f t="shared" si="4"/>
        <v>14276338.66</v>
      </c>
      <c r="AA30" s="97">
        <f t="shared" si="5"/>
        <v>0</v>
      </c>
      <c r="AB30" s="136"/>
      <c r="AC30" s="94"/>
      <c r="AD30" s="93"/>
      <c r="AE30" s="94">
        <f t="shared" si="6"/>
        <v>0</v>
      </c>
      <c r="AF30" s="94">
        <f t="shared" si="7"/>
        <v>0</v>
      </c>
      <c r="AG30" s="94">
        <f t="shared" si="8"/>
        <v>0</v>
      </c>
      <c r="AH30" s="97">
        <f t="shared" si="9"/>
        <v>58225764.28</v>
      </c>
      <c r="AI30" s="97">
        <f t="shared" si="10"/>
        <v>17084293.95</v>
      </c>
      <c r="AJ30" s="97">
        <f t="shared" si="11"/>
        <v>27362</v>
      </c>
      <c r="AK30" s="97">
        <f t="shared" si="17"/>
        <v>75337420.23</v>
      </c>
    </row>
    <row r="31" spans="1:37" ht="21">
      <c r="A31" s="95">
        <v>23</v>
      </c>
      <c r="B31" s="93" t="s">
        <v>288</v>
      </c>
      <c r="C31" s="106" t="s">
        <v>299</v>
      </c>
      <c r="D31" s="94">
        <v>3036280.64</v>
      </c>
      <c r="E31" s="94">
        <v>324104</v>
      </c>
      <c r="F31" s="94">
        <v>3300</v>
      </c>
      <c r="G31" s="94"/>
      <c r="H31" s="94">
        <v>542667.4</v>
      </c>
      <c r="I31" s="94"/>
      <c r="J31" s="94">
        <v>43125</v>
      </c>
      <c r="K31" s="94"/>
      <c r="L31" s="94"/>
      <c r="M31" s="94"/>
      <c r="N31" s="94"/>
      <c r="O31" s="94"/>
      <c r="P31" s="94">
        <f t="shared" si="13"/>
        <v>3079405.64</v>
      </c>
      <c r="Q31" s="94">
        <f t="shared" si="14"/>
        <v>866771.4</v>
      </c>
      <c r="R31" s="94">
        <f t="shared" si="15"/>
        <v>3300</v>
      </c>
      <c r="S31" s="94">
        <v>936749</v>
      </c>
      <c r="T31" s="94">
        <v>496795.15</v>
      </c>
      <c r="U31" s="94"/>
      <c r="V31" s="94">
        <v>63430.37</v>
      </c>
      <c r="W31" s="94">
        <v>205234.05</v>
      </c>
      <c r="X31" s="127"/>
      <c r="Y31" s="97">
        <f t="shared" si="3"/>
        <v>1000179.37</v>
      </c>
      <c r="Z31" s="97">
        <f t="shared" si="4"/>
        <v>702029.2</v>
      </c>
      <c r="AA31" s="97">
        <f t="shared" si="5"/>
        <v>0</v>
      </c>
      <c r="AB31" s="136"/>
      <c r="AC31" s="94">
        <v>3281979.13</v>
      </c>
      <c r="AD31" s="93"/>
      <c r="AE31" s="94">
        <f t="shared" si="6"/>
        <v>0</v>
      </c>
      <c r="AF31" s="94">
        <f t="shared" si="7"/>
        <v>3281979.13</v>
      </c>
      <c r="AG31" s="94">
        <f t="shared" si="8"/>
        <v>0</v>
      </c>
      <c r="AH31" s="97">
        <f t="shared" si="9"/>
        <v>4079585.0100000002</v>
      </c>
      <c r="AI31" s="97">
        <f t="shared" si="10"/>
        <v>4850779.73</v>
      </c>
      <c r="AJ31" s="97">
        <f t="shared" si="11"/>
        <v>3300</v>
      </c>
      <c r="AK31" s="97">
        <f t="shared" si="17"/>
        <v>8933664.74</v>
      </c>
    </row>
    <row r="32" spans="1:37" ht="21.75" thickBot="1">
      <c r="A32" s="95">
        <v>24</v>
      </c>
      <c r="B32" s="93" t="s">
        <v>288</v>
      </c>
      <c r="C32" s="106" t="s">
        <v>300</v>
      </c>
      <c r="D32" s="94">
        <v>5010873.09</v>
      </c>
      <c r="E32" s="94">
        <v>268532.26</v>
      </c>
      <c r="F32" s="94"/>
      <c r="G32" s="94"/>
      <c r="H32" s="94"/>
      <c r="I32" s="94"/>
      <c r="J32" s="94"/>
      <c r="K32" s="94">
        <v>23900</v>
      </c>
      <c r="L32" s="94"/>
      <c r="M32" s="94"/>
      <c r="N32" s="94"/>
      <c r="O32" s="94"/>
      <c r="P32" s="94">
        <f t="shared" si="13"/>
        <v>5010873.09</v>
      </c>
      <c r="Q32" s="94">
        <f t="shared" si="14"/>
        <v>292432.26</v>
      </c>
      <c r="R32" s="94">
        <f t="shared" si="15"/>
        <v>0</v>
      </c>
      <c r="S32" s="94">
        <v>93000</v>
      </c>
      <c r="T32" s="94">
        <v>2071735.6</v>
      </c>
      <c r="U32" s="94"/>
      <c r="V32" s="94">
        <v>1251440.76</v>
      </c>
      <c r="W32" s="94">
        <v>82280.66</v>
      </c>
      <c r="X32" s="127"/>
      <c r="Y32" s="97">
        <f t="shared" si="3"/>
        <v>1344440.76</v>
      </c>
      <c r="Z32" s="97">
        <f t="shared" si="4"/>
        <v>2154016.2600000002</v>
      </c>
      <c r="AA32" s="97">
        <f t="shared" si="5"/>
        <v>0</v>
      </c>
      <c r="AB32" s="136"/>
      <c r="AC32" s="94"/>
      <c r="AD32" s="93"/>
      <c r="AE32" s="94">
        <f t="shared" si="6"/>
        <v>0</v>
      </c>
      <c r="AF32" s="94">
        <f t="shared" si="7"/>
        <v>0</v>
      </c>
      <c r="AG32" s="94">
        <f t="shared" si="8"/>
        <v>0</v>
      </c>
      <c r="AH32" s="97">
        <f t="shared" si="9"/>
        <v>6355313.85</v>
      </c>
      <c r="AI32" s="97">
        <f t="shared" si="10"/>
        <v>2446448.5200000005</v>
      </c>
      <c r="AJ32" s="97">
        <f t="shared" si="11"/>
        <v>0</v>
      </c>
      <c r="AK32" s="97">
        <f t="shared" si="17"/>
        <v>8801762.370000001</v>
      </c>
    </row>
    <row r="33" spans="1:37" ht="21.75" thickBot="1">
      <c r="A33" s="260" t="s">
        <v>14</v>
      </c>
      <c r="B33" s="261"/>
      <c r="C33" s="262"/>
      <c r="D33" s="110">
        <f>SUM(D26:D32)</f>
        <v>293443346.11999995</v>
      </c>
      <c r="E33" s="110">
        <f aca="true" t="shared" si="18" ref="E33:AK33">SUM(E26:E32)</f>
        <v>24536830.660000004</v>
      </c>
      <c r="F33" s="110">
        <f t="shared" si="18"/>
        <v>10375866.93</v>
      </c>
      <c r="G33" s="110">
        <f t="shared" si="18"/>
        <v>765123.29</v>
      </c>
      <c r="H33" s="110">
        <f t="shared" si="18"/>
        <v>13932682.860000001</v>
      </c>
      <c r="I33" s="110">
        <f t="shared" si="18"/>
        <v>0</v>
      </c>
      <c r="J33" s="110">
        <f t="shared" si="18"/>
        <v>929655</v>
      </c>
      <c r="K33" s="110">
        <f t="shared" si="18"/>
        <v>79642</v>
      </c>
      <c r="L33" s="110">
        <f t="shared" si="18"/>
        <v>0</v>
      </c>
      <c r="M33" s="110">
        <f t="shared" si="18"/>
        <v>0</v>
      </c>
      <c r="N33" s="110">
        <f t="shared" si="18"/>
        <v>0</v>
      </c>
      <c r="O33" s="110">
        <f t="shared" si="18"/>
        <v>0</v>
      </c>
      <c r="P33" s="110">
        <f t="shared" si="18"/>
        <v>295138124.40999997</v>
      </c>
      <c r="Q33" s="110">
        <f t="shared" si="18"/>
        <v>38549155.519999996</v>
      </c>
      <c r="R33" s="110">
        <f t="shared" si="18"/>
        <v>10375866.93</v>
      </c>
      <c r="S33" s="110">
        <f t="shared" si="18"/>
        <v>46375873.910000004</v>
      </c>
      <c r="T33" s="110">
        <f t="shared" si="18"/>
        <v>49985063.13999999</v>
      </c>
      <c r="U33" s="110">
        <f t="shared" si="18"/>
        <v>0</v>
      </c>
      <c r="V33" s="110">
        <f t="shared" si="18"/>
        <v>85825102.34000002</v>
      </c>
      <c r="W33" s="110">
        <f t="shared" si="18"/>
        <v>28816185.980000004</v>
      </c>
      <c r="X33" s="110">
        <f t="shared" si="18"/>
        <v>0</v>
      </c>
      <c r="Y33" s="110">
        <f t="shared" si="18"/>
        <v>132200976.25000001</v>
      </c>
      <c r="Z33" s="110">
        <f t="shared" si="18"/>
        <v>78801249.12</v>
      </c>
      <c r="AA33" s="110">
        <f t="shared" si="18"/>
        <v>0</v>
      </c>
      <c r="AB33" s="110">
        <f t="shared" si="18"/>
        <v>7584350.89</v>
      </c>
      <c r="AC33" s="110">
        <f t="shared" si="18"/>
        <v>10340906.48</v>
      </c>
      <c r="AD33" s="110">
        <f t="shared" si="18"/>
        <v>0</v>
      </c>
      <c r="AE33" s="110">
        <f t="shared" si="18"/>
        <v>7584350.89</v>
      </c>
      <c r="AF33" s="110">
        <f t="shared" si="18"/>
        <v>10340906.48</v>
      </c>
      <c r="AG33" s="110">
        <f t="shared" si="18"/>
        <v>0</v>
      </c>
      <c r="AH33" s="110">
        <f t="shared" si="18"/>
        <v>434923451.54999995</v>
      </c>
      <c r="AI33" s="110">
        <f t="shared" si="18"/>
        <v>127691311.12</v>
      </c>
      <c r="AJ33" s="110">
        <f t="shared" si="18"/>
        <v>10375866.93</v>
      </c>
      <c r="AK33" s="110">
        <f t="shared" si="18"/>
        <v>572990629.5999999</v>
      </c>
    </row>
    <row r="34" spans="1:37" ht="22.5" thickBot="1" thickTop="1">
      <c r="A34" s="263" t="s">
        <v>301</v>
      </c>
      <c r="B34" s="264"/>
      <c r="C34" s="265"/>
      <c r="D34" s="111">
        <f>D33+D24</f>
        <v>606748100.6099999</v>
      </c>
      <c r="E34" s="111">
        <f aca="true" t="shared" si="19" ref="E34:AK34">E33+E24</f>
        <v>63876731.45</v>
      </c>
      <c r="F34" s="111">
        <f t="shared" si="19"/>
        <v>12012500.03</v>
      </c>
      <c r="G34" s="111">
        <f t="shared" si="19"/>
        <v>3796132.72</v>
      </c>
      <c r="H34" s="111">
        <f t="shared" si="19"/>
        <v>17739361.86</v>
      </c>
      <c r="I34" s="111">
        <f t="shared" si="19"/>
        <v>0</v>
      </c>
      <c r="J34" s="111">
        <f t="shared" si="19"/>
        <v>1196514.42</v>
      </c>
      <c r="K34" s="111">
        <f t="shared" si="19"/>
        <v>964926.44</v>
      </c>
      <c r="L34" s="111">
        <f t="shared" si="19"/>
        <v>0</v>
      </c>
      <c r="M34" s="111">
        <f t="shared" si="19"/>
        <v>0</v>
      </c>
      <c r="N34" s="111">
        <f t="shared" si="19"/>
        <v>6959754</v>
      </c>
      <c r="O34" s="111">
        <f t="shared" si="19"/>
        <v>0</v>
      </c>
      <c r="P34" s="111">
        <f t="shared" si="19"/>
        <v>611740747.75</v>
      </c>
      <c r="Q34" s="111">
        <f t="shared" si="19"/>
        <v>89540773.75</v>
      </c>
      <c r="R34" s="111">
        <f t="shared" si="19"/>
        <v>12012500.03</v>
      </c>
      <c r="S34" s="111">
        <f t="shared" si="19"/>
        <v>70102912.85000001</v>
      </c>
      <c r="T34" s="111">
        <f t="shared" si="19"/>
        <v>106181488.46000001</v>
      </c>
      <c r="U34" s="111">
        <f t="shared" si="19"/>
        <v>0</v>
      </c>
      <c r="V34" s="111">
        <f t="shared" si="19"/>
        <v>259079591.01999998</v>
      </c>
      <c r="W34" s="111">
        <f t="shared" si="19"/>
        <v>52707269.660000004</v>
      </c>
      <c r="X34" s="111">
        <f t="shared" si="19"/>
        <v>0</v>
      </c>
      <c r="Y34" s="111">
        <f t="shared" si="19"/>
        <v>329182503.86999995</v>
      </c>
      <c r="Z34" s="111">
        <f t="shared" si="19"/>
        <v>158888758.12</v>
      </c>
      <c r="AA34" s="111">
        <f t="shared" si="19"/>
        <v>0</v>
      </c>
      <c r="AB34" s="111">
        <f t="shared" si="19"/>
        <v>7636946.89</v>
      </c>
      <c r="AC34" s="111">
        <f t="shared" si="19"/>
        <v>16985058.48</v>
      </c>
      <c r="AD34" s="111">
        <f t="shared" si="19"/>
        <v>0</v>
      </c>
      <c r="AE34" s="111">
        <f t="shared" si="19"/>
        <v>7636946.89</v>
      </c>
      <c r="AF34" s="111">
        <f t="shared" si="19"/>
        <v>16985058.48</v>
      </c>
      <c r="AG34" s="111">
        <f t="shared" si="19"/>
        <v>0</v>
      </c>
      <c r="AH34" s="111">
        <f t="shared" si="19"/>
        <v>948560198.51</v>
      </c>
      <c r="AI34" s="111">
        <f t="shared" si="19"/>
        <v>265414590.35000002</v>
      </c>
      <c r="AJ34" s="111">
        <f t="shared" si="19"/>
        <v>12012500.03</v>
      </c>
      <c r="AK34" s="111">
        <f t="shared" si="19"/>
        <v>1225987288.8899999</v>
      </c>
    </row>
    <row r="35" spans="1:37" ht="21.75" thickTop="1">
      <c r="A35" s="259" t="s">
        <v>302</v>
      </c>
      <c r="B35" s="259"/>
      <c r="C35" s="259"/>
      <c r="D35" s="104"/>
      <c r="E35" s="104"/>
      <c r="F35" s="104"/>
      <c r="G35" s="104"/>
      <c r="H35" s="105"/>
      <c r="I35" s="104"/>
      <c r="J35" s="104"/>
      <c r="K35" s="104"/>
      <c r="L35" s="104"/>
      <c r="M35" s="104"/>
      <c r="N35" s="104"/>
      <c r="O35" s="104"/>
      <c r="P35" s="94">
        <f t="shared" si="13"/>
        <v>0</v>
      </c>
      <c r="Q35" s="94">
        <f t="shared" si="14"/>
        <v>0</v>
      </c>
      <c r="R35" s="94">
        <f t="shared" si="15"/>
        <v>0</v>
      </c>
      <c r="S35" s="104"/>
      <c r="T35" s="104"/>
      <c r="U35" s="104"/>
      <c r="V35" s="104"/>
      <c r="W35" s="104"/>
      <c r="X35" s="130"/>
      <c r="Y35" s="97">
        <f t="shared" si="3"/>
        <v>0</v>
      </c>
      <c r="Z35" s="97">
        <f t="shared" si="4"/>
        <v>0</v>
      </c>
      <c r="AA35" s="97">
        <f t="shared" si="5"/>
        <v>0</v>
      </c>
      <c r="AB35" s="138"/>
      <c r="AC35" s="104"/>
      <c r="AD35" s="104"/>
      <c r="AE35" s="94">
        <f t="shared" si="6"/>
        <v>0</v>
      </c>
      <c r="AF35" s="94">
        <f t="shared" si="7"/>
        <v>0</v>
      </c>
      <c r="AG35" s="94">
        <f t="shared" si="8"/>
        <v>0</v>
      </c>
      <c r="AH35" s="97">
        <f t="shared" si="9"/>
        <v>0</v>
      </c>
      <c r="AI35" s="97">
        <f t="shared" si="10"/>
        <v>0</v>
      </c>
      <c r="AJ35" s="97">
        <f t="shared" si="11"/>
        <v>0</v>
      </c>
      <c r="AK35" s="104"/>
    </row>
    <row r="36" spans="1:37" s="69" customFormat="1" ht="21">
      <c r="A36" s="113">
        <v>25</v>
      </c>
      <c r="B36" s="93" t="s">
        <v>293</v>
      </c>
      <c r="C36" s="114" t="s">
        <v>303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94">
        <f t="shared" si="13"/>
        <v>0</v>
      </c>
      <c r="Q36" s="94">
        <f t="shared" si="14"/>
        <v>0</v>
      </c>
      <c r="R36" s="94">
        <f t="shared" si="15"/>
        <v>0</v>
      </c>
      <c r="S36" s="115"/>
      <c r="T36" s="115">
        <v>3457309.2800000003</v>
      </c>
      <c r="U36" s="115"/>
      <c r="V36" s="115">
        <v>365324.4</v>
      </c>
      <c r="W36" s="115">
        <v>6385.7</v>
      </c>
      <c r="X36" s="132"/>
      <c r="Y36" s="97">
        <f t="shared" si="3"/>
        <v>365324.4</v>
      </c>
      <c r="Z36" s="97">
        <f t="shared" si="4"/>
        <v>3463694.9800000004</v>
      </c>
      <c r="AA36" s="97">
        <f t="shared" si="5"/>
        <v>0</v>
      </c>
      <c r="AB36" s="140"/>
      <c r="AC36" s="115"/>
      <c r="AD36" s="115"/>
      <c r="AE36" s="94">
        <f t="shared" si="6"/>
        <v>0</v>
      </c>
      <c r="AF36" s="94">
        <f t="shared" si="7"/>
        <v>0</v>
      </c>
      <c r="AG36" s="94">
        <f t="shared" si="8"/>
        <v>0</v>
      </c>
      <c r="AH36" s="97">
        <f t="shared" si="9"/>
        <v>365324.4</v>
      </c>
      <c r="AI36" s="97">
        <f t="shared" si="10"/>
        <v>3463694.9800000004</v>
      </c>
      <c r="AJ36" s="97">
        <f t="shared" si="11"/>
        <v>0</v>
      </c>
      <c r="AK36" s="97">
        <f>AH36+AI36+AJ36</f>
        <v>3829019.3800000004</v>
      </c>
    </row>
    <row r="37" spans="1:37" s="69" customFormat="1" ht="21">
      <c r="A37" s="113">
        <v>26</v>
      </c>
      <c r="B37" s="93" t="s">
        <v>279</v>
      </c>
      <c r="C37" s="116" t="s">
        <v>304</v>
      </c>
      <c r="D37" s="117"/>
      <c r="E37" s="117">
        <v>355170.34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94">
        <f t="shared" si="13"/>
        <v>0</v>
      </c>
      <c r="Q37" s="94">
        <f t="shared" si="14"/>
        <v>355170.34</v>
      </c>
      <c r="R37" s="94">
        <f t="shared" si="15"/>
        <v>0</v>
      </c>
      <c r="S37" s="117"/>
      <c r="T37" s="117">
        <v>19645</v>
      </c>
      <c r="U37" s="117"/>
      <c r="V37" s="117"/>
      <c r="W37" s="117"/>
      <c r="X37" s="133"/>
      <c r="Y37" s="97">
        <f t="shared" si="3"/>
        <v>0</v>
      </c>
      <c r="Z37" s="97">
        <f t="shared" si="4"/>
        <v>19645</v>
      </c>
      <c r="AA37" s="97">
        <f t="shared" si="5"/>
        <v>0</v>
      </c>
      <c r="AB37" s="141"/>
      <c r="AC37" s="117"/>
      <c r="AD37" s="117"/>
      <c r="AE37" s="94">
        <f t="shared" si="6"/>
        <v>0</v>
      </c>
      <c r="AF37" s="94">
        <f t="shared" si="7"/>
        <v>0</v>
      </c>
      <c r="AG37" s="94">
        <f t="shared" si="8"/>
        <v>0</v>
      </c>
      <c r="AH37" s="97">
        <f t="shared" si="9"/>
        <v>0</v>
      </c>
      <c r="AI37" s="97">
        <f t="shared" si="10"/>
        <v>374815.34</v>
      </c>
      <c r="AJ37" s="97">
        <f t="shared" si="11"/>
        <v>0</v>
      </c>
      <c r="AK37" s="97">
        <f aca="true" t="shared" si="20" ref="AK37:AK46">AH37+AI37+AJ37</f>
        <v>374815.34</v>
      </c>
    </row>
    <row r="38" spans="1:37" s="69" customFormat="1" ht="21">
      <c r="A38" s="80">
        <v>27</v>
      </c>
      <c r="B38" s="93" t="s">
        <v>281</v>
      </c>
      <c r="C38" s="116" t="s">
        <v>305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94">
        <f t="shared" si="13"/>
        <v>0</v>
      </c>
      <c r="Q38" s="94">
        <f t="shared" si="14"/>
        <v>0</v>
      </c>
      <c r="R38" s="94">
        <f t="shared" si="15"/>
        <v>0</v>
      </c>
      <c r="S38" s="117">
        <v>0</v>
      </c>
      <c r="T38" s="117">
        <v>43879</v>
      </c>
      <c r="U38" s="117">
        <v>0</v>
      </c>
      <c r="V38" s="117">
        <v>0</v>
      </c>
      <c r="W38" s="117">
        <v>0</v>
      </c>
      <c r="X38" s="133">
        <v>0</v>
      </c>
      <c r="Y38" s="97">
        <f t="shared" si="3"/>
        <v>0</v>
      </c>
      <c r="Z38" s="97">
        <f t="shared" si="4"/>
        <v>43879</v>
      </c>
      <c r="AA38" s="97">
        <f t="shared" si="5"/>
        <v>0</v>
      </c>
      <c r="AB38" s="141"/>
      <c r="AC38" s="117"/>
      <c r="AD38" s="117"/>
      <c r="AE38" s="94">
        <f t="shared" si="6"/>
        <v>0</v>
      </c>
      <c r="AF38" s="94">
        <f t="shared" si="7"/>
        <v>0</v>
      </c>
      <c r="AG38" s="94">
        <f t="shared" si="8"/>
        <v>0</v>
      </c>
      <c r="AH38" s="97">
        <f t="shared" si="9"/>
        <v>0</v>
      </c>
      <c r="AI38" s="97">
        <f t="shared" si="10"/>
        <v>43879</v>
      </c>
      <c r="AJ38" s="97">
        <f t="shared" si="11"/>
        <v>0</v>
      </c>
      <c r="AK38" s="97">
        <f t="shared" si="20"/>
        <v>43879</v>
      </c>
    </row>
    <row r="39" spans="1:37" s="69" customFormat="1" ht="21">
      <c r="A39" s="80">
        <v>28</v>
      </c>
      <c r="B39" s="93" t="s">
        <v>281</v>
      </c>
      <c r="C39" s="116" t="s">
        <v>306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94">
        <f t="shared" si="13"/>
        <v>0</v>
      </c>
      <c r="Q39" s="94">
        <f t="shared" si="14"/>
        <v>0</v>
      </c>
      <c r="R39" s="94">
        <f t="shared" si="15"/>
        <v>0</v>
      </c>
      <c r="S39" s="117">
        <v>0</v>
      </c>
      <c r="T39" s="117">
        <v>568223</v>
      </c>
      <c r="U39" s="117">
        <v>0</v>
      </c>
      <c r="V39" s="117">
        <v>0</v>
      </c>
      <c r="W39" s="117">
        <v>0</v>
      </c>
      <c r="X39" s="133">
        <v>0</v>
      </c>
      <c r="Y39" s="97">
        <f t="shared" si="3"/>
        <v>0</v>
      </c>
      <c r="Z39" s="97">
        <f t="shared" si="4"/>
        <v>568223</v>
      </c>
      <c r="AA39" s="97">
        <f t="shared" si="5"/>
        <v>0</v>
      </c>
      <c r="AB39" s="141"/>
      <c r="AC39" s="117"/>
      <c r="AD39" s="117"/>
      <c r="AE39" s="94">
        <f t="shared" si="6"/>
        <v>0</v>
      </c>
      <c r="AF39" s="94">
        <f t="shared" si="7"/>
        <v>0</v>
      </c>
      <c r="AG39" s="94">
        <f t="shared" si="8"/>
        <v>0</v>
      </c>
      <c r="AH39" s="97">
        <f t="shared" si="9"/>
        <v>0</v>
      </c>
      <c r="AI39" s="97">
        <f t="shared" si="10"/>
        <v>568223</v>
      </c>
      <c r="AJ39" s="97">
        <f t="shared" si="11"/>
        <v>0</v>
      </c>
      <c r="AK39" s="97">
        <f t="shared" si="20"/>
        <v>568223</v>
      </c>
    </row>
    <row r="40" spans="1:37" s="69" customFormat="1" ht="21">
      <c r="A40" s="80">
        <v>29</v>
      </c>
      <c r="B40" s="93" t="s">
        <v>281</v>
      </c>
      <c r="C40" s="116" t="s">
        <v>304</v>
      </c>
      <c r="D40" s="117">
        <v>0</v>
      </c>
      <c r="E40" s="117">
        <v>171675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94">
        <f t="shared" si="13"/>
        <v>0</v>
      </c>
      <c r="Q40" s="94">
        <f t="shared" si="14"/>
        <v>171675</v>
      </c>
      <c r="R40" s="94">
        <f t="shared" si="15"/>
        <v>0</v>
      </c>
      <c r="S40" s="117">
        <v>0</v>
      </c>
      <c r="T40" s="117">
        <v>209274</v>
      </c>
      <c r="U40" s="117">
        <v>0</v>
      </c>
      <c r="V40" s="117">
        <v>0</v>
      </c>
      <c r="W40" s="117">
        <v>0</v>
      </c>
      <c r="X40" s="133">
        <v>0</v>
      </c>
      <c r="Y40" s="97">
        <f t="shared" si="3"/>
        <v>0</v>
      </c>
      <c r="Z40" s="97">
        <f t="shared" si="4"/>
        <v>209274</v>
      </c>
      <c r="AA40" s="97">
        <f t="shared" si="5"/>
        <v>0</v>
      </c>
      <c r="AB40" s="141"/>
      <c r="AC40" s="117"/>
      <c r="AD40" s="117"/>
      <c r="AE40" s="94">
        <f t="shared" si="6"/>
        <v>0</v>
      </c>
      <c r="AF40" s="94">
        <f t="shared" si="7"/>
        <v>0</v>
      </c>
      <c r="AG40" s="94">
        <f t="shared" si="8"/>
        <v>0</v>
      </c>
      <c r="AH40" s="97">
        <f t="shared" si="9"/>
        <v>0</v>
      </c>
      <c r="AI40" s="97">
        <f t="shared" si="10"/>
        <v>380949</v>
      </c>
      <c r="AJ40" s="97">
        <f t="shared" si="11"/>
        <v>0</v>
      </c>
      <c r="AK40" s="97">
        <f t="shared" si="20"/>
        <v>380949</v>
      </c>
    </row>
    <row r="41" spans="1:37" ht="21">
      <c r="A41" s="95">
        <v>30</v>
      </c>
      <c r="B41" s="93" t="s">
        <v>285</v>
      </c>
      <c r="C41" s="93" t="s">
        <v>307</v>
      </c>
      <c r="D41" s="93"/>
      <c r="E41" s="94">
        <v>2829056.84</v>
      </c>
      <c r="F41" s="93"/>
      <c r="G41" s="93"/>
      <c r="H41" s="94"/>
      <c r="I41" s="93"/>
      <c r="J41" s="93"/>
      <c r="K41" s="93"/>
      <c r="L41" s="93"/>
      <c r="M41" s="93"/>
      <c r="N41" s="93"/>
      <c r="O41" s="93"/>
      <c r="P41" s="94">
        <f t="shared" si="13"/>
        <v>0</v>
      </c>
      <c r="Q41" s="94">
        <f t="shared" si="14"/>
        <v>2829056.84</v>
      </c>
      <c r="R41" s="94">
        <f t="shared" si="15"/>
        <v>0</v>
      </c>
      <c r="S41" s="93"/>
      <c r="T41" s="94">
        <v>2775643.72</v>
      </c>
      <c r="U41" s="93"/>
      <c r="V41" s="93"/>
      <c r="W41" s="93"/>
      <c r="X41" s="126"/>
      <c r="Y41" s="97">
        <f t="shared" si="3"/>
        <v>0</v>
      </c>
      <c r="Z41" s="97">
        <f t="shared" si="4"/>
        <v>2775643.72</v>
      </c>
      <c r="AA41" s="97">
        <f t="shared" si="5"/>
        <v>0</v>
      </c>
      <c r="AB41" s="135"/>
      <c r="AC41" s="93"/>
      <c r="AD41" s="93"/>
      <c r="AE41" s="94">
        <f t="shared" si="6"/>
        <v>0</v>
      </c>
      <c r="AF41" s="94">
        <f t="shared" si="7"/>
        <v>0</v>
      </c>
      <c r="AG41" s="94">
        <f t="shared" si="8"/>
        <v>0</v>
      </c>
      <c r="AH41" s="97">
        <f t="shared" si="9"/>
        <v>0</v>
      </c>
      <c r="AI41" s="97">
        <f t="shared" si="10"/>
        <v>5604700.5600000005</v>
      </c>
      <c r="AJ41" s="97">
        <f t="shared" si="11"/>
        <v>0</v>
      </c>
      <c r="AK41" s="97">
        <f t="shared" si="20"/>
        <v>5604700.5600000005</v>
      </c>
    </row>
    <row r="42" spans="1:37" ht="21">
      <c r="A42" s="95">
        <v>31</v>
      </c>
      <c r="B42" s="93" t="s">
        <v>285</v>
      </c>
      <c r="C42" s="93" t="s">
        <v>308</v>
      </c>
      <c r="D42" s="93"/>
      <c r="E42" s="94">
        <v>1547999.62</v>
      </c>
      <c r="F42" s="93"/>
      <c r="G42" s="93"/>
      <c r="H42" s="94"/>
      <c r="I42" s="93"/>
      <c r="J42" s="93"/>
      <c r="K42" s="93"/>
      <c r="L42" s="93"/>
      <c r="M42" s="93"/>
      <c r="N42" s="93"/>
      <c r="O42" s="93"/>
      <c r="P42" s="94">
        <f t="shared" si="13"/>
        <v>0</v>
      </c>
      <c r="Q42" s="94">
        <f t="shared" si="14"/>
        <v>1547999.62</v>
      </c>
      <c r="R42" s="94">
        <f t="shared" si="15"/>
        <v>0</v>
      </c>
      <c r="S42" s="93"/>
      <c r="T42" s="94">
        <v>7073307.55</v>
      </c>
      <c r="U42" s="93"/>
      <c r="V42" s="93"/>
      <c r="W42" s="93"/>
      <c r="X42" s="126"/>
      <c r="Y42" s="97">
        <f t="shared" si="3"/>
        <v>0</v>
      </c>
      <c r="Z42" s="97">
        <f t="shared" si="4"/>
        <v>7073307.55</v>
      </c>
      <c r="AA42" s="97">
        <f t="shared" si="5"/>
        <v>0</v>
      </c>
      <c r="AB42" s="135"/>
      <c r="AC42" s="93"/>
      <c r="AD42" s="93"/>
      <c r="AE42" s="94">
        <f t="shared" si="6"/>
        <v>0</v>
      </c>
      <c r="AF42" s="94">
        <f t="shared" si="7"/>
        <v>0</v>
      </c>
      <c r="AG42" s="94">
        <f t="shared" si="8"/>
        <v>0</v>
      </c>
      <c r="AH42" s="97">
        <f t="shared" si="9"/>
        <v>0</v>
      </c>
      <c r="AI42" s="97">
        <f t="shared" si="10"/>
        <v>8621307.17</v>
      </c>
      <c r="AJ42" s="97">
        <f t="shared" si="11"/>
        <v>0</v>
      </c>
      <c r="AK42" s="97">
        <f t="shared" si="20"/>
        <v>8621307.17</v>
      </c>
    </row>
    <row r="43" spans="1:37" ht="21">
      <c r="A43" s="95">
        <v>32</v>
      </c>
      <c r="B43" s="93" t="s">
        <v>285</v>
      </c>
      <c r="C43" s="93" t="s">
        <v>304</v>
      </c>
      <c r="D43" s="93"/>
      <c r="E43" s="94">
        <v>404074</v>
      </c>
      <c r="F43" s="93"/>
      <c r="G43" s="93"/>
      <c r="H43" s="94"/>
      <c r="I43" s="93"/>
      <c r="J43" s="93"/>
      <c r="K43" s="93"/>
      <c r="L43" s="93"/>
      <c r="M43" s="93"/>
      <c r="N43" s="93"/>
      <c r="O43" s="93"/>
      <c r="P43" s="94">
        <f t="shared" si="13"/>
        <v>0</v>
      </c>
      <c r="Q43" s="94">
        <f t="shared" si="14"/>
        <v>404074</v>
      </c>
      <c r="R43" s="94">
        <f t="shared" si="15"/>
        <v>0</v>
      </c>
      <c r="S43" s="93"/>
      <c r="T43" s="94">
        <v>356439.11</v>
      </c>
      <c r="U43" s="93"/>
      <c r="V43" s="93"/>
      <c r="W43" s="93"/>
      <c r="X43" s="126"/>
      <c r="Y43" s="97">
        <f t="shared" si="3"/>
        <v>0</v>
      </c>
      <c r="Z43" s="97">
        <f t="shared" si="4"/>
        <v>356439.11</v>
      </c>
      <c r="AA43" s="97">
        <f t="shared" si="5"/>
        <v>0</v>
      </c>
      <c r="AB43" s="135"/>
      <c r="AC43" s="93"/>
      <c r="AD43" s="93"/>
      <c r="AE43" s="94">
        <f t="shared" si="6"/>
        <v>0</v>
      </c>
      <c r="AF43" s="94">
        <f t="shared" si="7"/>
        <v>0</v>
      </c>
      <c r="AG43" s="94">
        <f t="shared" si="8"/>
        <v>0</v>
      </c>
      <c r="AH43" s="97">
        <f t="shared" si="9"/>
        <v>0</v>
      </c>
      <c r="AI43" s="97">
        <f t="shared" si="10"/>
        <v>760513.11</v>
      </c>
      <c r="AJ43" s="97">
        <f t="shared" si="11"/>
        <v>0</v>
      </c>
      <c r="AK43" s="97">
        <f t="shared" si="20"/>
        <v>760513.11</v>
      </c>
    </row>
    <row r="44" spans="1:37" ht="21">
      <c r="A44" s="99">
        <v>33</v>
      </c>
      <c r="B44" s="100" t="s">
        <v>288</v>
      </c>
      <c r="C44" s="100" t="s">
        <v>306</v>
      </c>
      <c r="D44" s="100"/>
      <c r="E44" s="101">
        <v>439660</v>
      </c>
      <c r="F44" s="100"/>
      <c r="G44" s="100"/>
      <c r="H44" s="101"/>
      <c r="I44" s="100"/>
      <c r="J44" s="100"/>
      <c r="K44" s="100"/>
      <c r="L44" s="100"/>
      <c r="M44" s="100"/>
      <c r="N44" s="100"/>
      <c r="O44" s="100"/>
      <c r="P44" s="94">
        <f t="shared" si="13"/>
        <v>0</v>
      </c>
      <c r="Q44" s="94">
        <f t="shared" si="14"/>
        <v>439660</v>
      </c>
      <c r="R44" s="94">
        <f t="shared" si="15"/>
        <v>0</v>
      </c>
      <c r="S44" s="100"/>
      <c r="T44" s="101">
        <v>1005321.94</v>
      </c>
      <c r="U44" s="100"/>
      <c r="V44" s="100"/>
      <c r="W44" s="100"/>
      <c r="X44" s="134"/>
      <c r="Y44" s="97">
        <f t="shared" si="3"/>
        <v>0</v>
      </c>
      <c r="Z44" s="97">
        <f t="shared" si="4"/>
        <v>1005321.94</v>
      </c>
      <c r="AA44" s="97">
        <f t="shared" si="5"/>
        <v>0</v>
      </c>
      <c r="AB44" s="142"/>
      <c r="AC44" s="100"/>
      <c r="AD44" s="100"/>
      <c r="AE44" s="94">
        <f t="shared" si="6"/>
        <v>0</v>
      </c>
      <c r="AF44" s="94">
        <f t="shared" si="7"/>
        <v>0</v>
      </c>
      <c r="AG44" s="94">
        <f t="shared" si="8"/>
        <v>0</v>
      </c>
      <c r="AH44" s="97">
        <f t="shared" si="9"/>
        <v>0</v>
      </c>
      <c r="AI44" s="97">
        <f t="shared" si="10"/>
        <v>1444981.94</v>
      </c>
      <c r="AJ44" s="97">
        <f t="shared" si="11"/>
        <v>0</v>
      </c>
      <c r="AK44" s="97">
        <f t="shared" si="20"/>
        <v>1444981.94</v>
      </c>
    </row>
    <row r="45" spans="1:37" ht="21">
      <c r="A45" s="99">
        <v>34</v>
      </c>
      <c r="B45" s="100" t="s">
        <v>288</v>
      </c>
      <c r="C45" s="100" t="s">
        <v>305</v>
      </c>
      <c r="D45" s="100"/>
      <c r="E45" s="101"/>
      <c r="F45" s="100"/>
      <c r="G45" s="100"/>
      <c r="H45" s="101"/>
      <c r="I45" s="100"/>
      <c r="J45" s="100"/>
      <c r="K45" s="100"/>
      <c r="L45" s="100"/>
      <c r="M45" s="100"/>
      <c r="N45" s="100"/>
      <c r="O45" s="100"/>
      <c r="P45" s="94">
        <f t="shared" si="13"/>
        <v>0</v>
      </c>
      <c r="Q45" s="94">
        <f t="shared" si="14"/>
        <v>0</v>
      </c>
      <c r="R45" s="94">
        <f t="shared" si="15"/>
        <v>0</v>
      </c>
      <c r="S45" s="100"/>
      <c r="T45" s="101">
        <v>180027.23</v>
      </c>
      <c r="U45" s="100"/>
      <c r="V45" s="100"/>
      <c r="W45" s="100"/>
      <c r="X45" s="134"/>
      <c r="Y45" s="97">
        <f t="shared" si="3"/>
        <v>0</v>
      </c>
      <c r="Z45" s="97">
        <f t="shared" si="4"/>
        <v>180027.23</v>
      </c>
      <c r="AA45" s="97">
        <f t="shared" si="5"/>
        <v>0</v>
      </c>
      <c r="AB45" s="142"/>
      <c r="AC45" s="100"/>
      <c r="AD45" s="100"/>
      <c r="AE45" s="94">
        <f t="shared" si="6"/>
        <v>0</v>
      </c>
      <c r="AF45" s="94">
        <f t="shared" si="7"/>
        <v>0</v>
      </c>
      <c r="AG45" s="94">
        <f t="shared" si="8"/>
        <v>0</v>
      </c>
      <c r="AH45" s="97">
        <f t="shared" si="9"/>
        <v>0</v>
      </c>
      <c r="AI45" s="97">
        <f t="shared" si="10"/>
        <v>180027.23</v>
      </c>
      <c r="AJ45" s="97">
        <f t="shared" si="11"/>
        <v>0</v>
      </c>
      <c r="AK45" s="97">
        <f t="shared" si="20"/>
        <v>180027.23</v>
      </c>
    </row>
    <row r="46" spans="1:37" ht="21.75" thickBot="1">
      <c r="A46" s="99">
        <v>35</v>
      </c>
      <c r="B46" s="100" t="s">
        <v>288</v>
      </c>
      <c r="C46" s="100" t="s">
        <v>304</v>
      </c>
      <c r="D46" s="100"/>
      <c r="E46" s="101">
        <v>353787.55</v>
      </c>
      <c r="F46" s="100"/>
      <c r="G46" s="100"/>
      <c r="H46" s="101"/>
      <c r="I46" s="100"/>
      <c r="J46" s="100"/>
      <c r="K46" s="100"/>
      <c r="L46" s="100"/>
      <c r="M46" s="100"/>
      <c r="N46" s="100"/>
      <c r="O46" s="100"/>
      <c r="P46" s="94">
        <f t="shared" si="13"/>
        <v>0</v>
      </c>
      <c r="Q46" s="94">
        <f t="shared" si="14"/>
        <v>353787.55</v>
      </c>
      <c r="R46" s="94">
        <f t="shared" si="15"/>
        <v>0</v>
      </c>
      <c r="S46" s="100"/>
      <c r="T46" s="101">
        <v>2000224.34</v>
      </c>
      <c r="U46" s="100"/>
      <c r="V46" s="100"/>
      <c r="W46" s="100"/>
      <c r="X46" s="134"/>
      <c r="Y46" s="97">
        <f t="shared" si="3"/>
        <v>0</v>
      </c>
      <c r="Z46" s="97">
        <f t="shared" si="4"/>
        <v>2000224.34</v>
      </c>
      <c r="AA46" s="97">
        <f t="shared" si="5"/>
        <v>0</v>
      </c>
      <c r="AB46" s="142"/>
      <c r="AC46" s="100"/>
      <c r="AD46" s="100"/>
      <c r="AE46" s="94">
        <f t="shared" si="6"/>
        <v>0</v>
      </c>
      <c r="AF46" s="94">
        <f t="shared" si="7"/>
        <v>0</v>
      </c>
      <c r="AG46" s="94">
        <f t="shared" si="8"/>
        <v>0</v>
      </c>
      <c r="AH46" s="97">
        <f t="shared" si="9"/>
        <v>0</v>
      </c>
      <c r="AI46" s="97">
        <f t="shared" si="10"/>
        <v>2354011.89</v>
      </c>
      <c r="AJ46" s="97">
        <f t="shared" si="11"/>
        <v>0</v>
      </c>
      <c r="AK46" s="97">
        <f t="shared" si="20"/>
        <v>2354011.89</v>
      </c>
    </row>
    <row r="47" spans="1:37" ht="21.75" thickBot="1">
      <c r="A47" s="266" t="s">
        <v>309</v>
      </c>
      <c r="B47" s="266"/>
      <c r="C47" s="266"/>
      <c r="D47" s="118">
        <f>SUM(D36:D46)</f>
        <v>0</v>
      </c>
      <c r="E47" s="118">
        <f>SUM(E36:E46)</f>
        <v>6101423.35</v>
      </c>
      <c r="F47" s="118">
        <f aca="true" t="shared" si="21" ref="F47:AK47">SUM(F36:F46)</f>
        <v>0</v>
      </c>
      <c r="G47" s="118">
        <f t="shared" si="21"/>
        <v>0</v>
      </c>
      <c r="H47" s="118">
        <f t="shared" si="21"/>
        <v>0</v>
      </c>
      <c r="I47" s="118">
        <f t="shared" si="21"/>
        <v>0</v>
      </c>
      <c r="J47" s="118">
        <f t="shared" si="21"/>
        <v>0</v>
      </c>
      <c r="K47" s="118">
        <f t="shared" si="21"/>
        <v>0</v>
      </c>
      <c r="L47" s="118">
        <f t="shared" si="21"/>
        <v>0</v>
      </c>
      <c r="M47" s="118">
        <f t="shared" si="21"/>
        <v>0</v>
      </c>
      <c r="N47" s="118">
        <f t="shared" si="21"/>
        <v>0</v>
      </c>
      <c r="O47" s="118">
        <f t="shared" si="21"/>
        <v>0</v>
      </c>
      <c r="P47" s="118">
        <f t="shared" si="21"/>
        <v>0</v>
      </c>
      <c r="Q47" s="118">
        <f t="shared" si="21"/>
        <v>6101423.35</v>
      </c>
      <c r="R47" s="118">
        <f t="shared" si="21"/>
        <v>0</v>
      </c>
      <c r="S47" s="118">
        <f t="shared" si="21"/>
        <v>0</v>
      </c>
      <c r="T47" s="118">
        <f t="shared" si="21"/>
        <v>17689294.17</v>
      </c>
      <c r="U47" s="118">
        <f t="shared" si="21"/>
        <v>0</v>
      </c>
      <c r="V47" s="118">
        <f t="shared" si="21"/>
        <v>365324.4</v>
      </c>
      <c r="W47" s="118">
        <f t="shared" si="21"/>
        <v>6385.7</v>
      </c>
      <c r="X47" s="118">
        <f t="shared" si="21"/>
        <v>0</v>
      </c>
      <c r="Y47" s="118">
        <f t="shared" si="21"/>
        <v>365324.4</v>
      </c>
      <c r="Z47" s="118">
        <f t="shared" si="21"/>
        <v>17695679.87</v>
      </c>
      <c r="AA47" s="118">
        <f t="shared" si="21"/>
        <v>0</v>
      </c>
      <c r="AB47" s="118">
        <f t="shared" si="21"/>
        <v>0</v>
      </c>
      <c r="AC47" s="118">
        <f t="shared" si="21"/>
        <v>0</v>
      </c>
      <c r="AD47" s="118">
        <f t="shared" si="21"/>
        <v>0</v>
      </c>
      <c r="AE47" s="118">
        <f t="shared" si="21"/>
        <v>0</v>
      </c>
      <c r="AF47" s="118">
        <f t="shared" si="21"/>
        <v>0</v>
      </c>
      <c r="AG47" s="118">
        <f t="shared" si="21"/>
        <v>0</v>
      </c>
      <c r="AH47" s="118">
        <f t="shared" si="21"/>
        <v>365324.4</v>
      </c>
      <c r="AI47" s="118">
        <f t="shared" si="21"/>
        <v>23797103.220000003</v>
      </c>
      <c r="AJ47" s="118">
        <f t="shared" si="21"/>
        <v>0</v>
      </c>
      <c r="AK47" s="118">
        <f t="shared" si="21"/>
        <v>24162427.620000005</v>
      </c>
    </row>
    <row r="48" spans="1:37" ht="22.5" thickBot="1" thickTop="1">
      <c r="A48" s="267" t="s">
        <v>25</v>
      </c>
      <c r="B48" s="267"/>
      <c r="C48" s="267"/>
      <c r="D48" s="111">
        <f>D47+D34</f>
        <v>606748100.6099999</v>
      </c>
      <c r="E48" s="111">
        <f aca="true" t="shared" si="22" ref="E48:AJ48">E47+E34</f>
        <v>69978154.8</v>
      </c>
      <c r="F48" s="111">
        <f t="shared" si="22"/>
        <v>12012500.03</v>
      </c>
      <c r="G48" s="111">
        <f t="shared" si="22"/>
        <v>3796132.72</v>
      </c>
      <c r="H48" s="111">
        <f t="shared" si="22"/>
        <v>17739361.86</v>
      </c>
      <c r="I48" s="111">
        <f t="shared" si="22"/>
        <v>0</v>
      </c>
      <c r="J48" s="111">
        <f t="shared" si="22"/>
        <v>1196514.42</v>
      </c>
      <c r="K48" s="111">
        <f t="shared" si="22"/>
        <v>964926.44</v>
      </c>
      <c r="L48" s="111">
        <f t="shared" si="22"/>
        <v>0</v>
      </c>
      <c r="M48" s="111">
        <f t="shared" si="22"/>
        <v>0</v>
      </c>
      <c r="N48" s="111">
        <f t="shared" si="22"/>
        <v>6959754</v>
      </c>
      <c r="O48" s="111">
        <f t="shared" si="22"/>
        <v>0</v>
      </c>
      <c r="P48" s="111">
        <f t="shared" si="22"/>
        <v>611740747.75</v>
      </c>
      <c r="Q48" s="111">
        <f t="shared" si="22"/>
        <v>95642197.1</v>
      </c>
      <c r="R48" s="111">
        <f t="shared" si="22"/>
        <v>12012500.03</v>
      </c>
      <c r="S48" s="111">
        <f t="shared" si="22"/>
        <v>70102912.85000001</v>
      </c>
      <c r="T48" s="111">
        <f t="shared" si="22"/>
        <v>123870782.63000001</v>
      </c>
      <c r="U48" s="111">
        <f t="shared" si="22"/>
        <v>0</v>
      </c>
      <c r="V48" s="111">
        <f t="shared" si="22"/>
        <v>259444915.42</v>
      </c>
      <c r="W48" s="111">
        <f t="shared" si="22"/>
        <v>52713655.36000001</v>
      </c>
      <c r="X48" s="111">
        <f t="shared" si="22"/>
        <v>0</v>
      </c>
      <c r="Y48" s="111">
        <f t="shared" si="22"/>
        <v>329547828.2699999</v>
      </c>
      <c r="Z48" s="111">
        <f t="shared" si="22"/>
        <v>176584437.99</v>
      </c>
      <c r="AA48" s="111">
        <f t="shared" si="22"/>
        <v>0</v>
      </c>
      <c r="AB48" s="111">
        <f t="shared" si="22"/>
        <v>7636946.89</v>
      </c>
      <c r="AC48" s="111">
        <f t="shared" si="22"/>
        <v>16985058.48</v>
      </c>
      <c r="AD48" s="111">
        <f t="shared" si="22"/>
        <v>0</v>
      </c>
      <c r="AE48" s="111">
        <f t="shared" si="22"/>
        <v>7636946.89</v>
      </c>
      <c r="AF48" s="111">
        <f t="shared" si="22"/>
        <v>16985058.48</v>
      </c>
      <c r="AG48" s="111">
        <f t="shared" si="22"/>
        <v>0</v>
      </c>
      <c r="AH48" s="111">
        <f t="shared" si="22"/>
        <v>948925522.91</v>
      </c>
      <c r="AI48" s="111">
        <f>AI47+AI34</f>
        <v>289211693.57000005</v>
      </c>
      <c r="AJ48" s="111">
        <f t="shared" si="22"/>
        <v>12012500.03</v>
      </c>
      <c r="AK48" s="111">
        <f>AK47+AK34</f>
        <v>1250149716.5099998</v>
      </c>
    </row>
    <row r="49" spans="1:37" ht="21.75" thickTop="1">
      <c r="A49" s="119"/>
      <c r="B49" s="119"/>
      <c r="C49" s="119"/>
      <c r="D49" s="102"/>
      <c r="E49" s="102"/>
      <c r="F49" s="102"/>
      <c r="G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5:29" ht="21" hidden="1">
      <c r="E50" s="89"/>
      <c r="F50" s="89"/>
      <c r="G50" s="89"/>
      <c r="K50" s="102"/>
      <c r="T50" s="102"/>
      <c r="W50" s="102"/>
      <c r="Z50" s="102"/>
      <c r="AC50" s="102"/>
    </row>
    <row r="51" spans="5:29" ht="21" hidden="1">
      <c r="E51" s="89"/>
      <c r="F51" s="89"/>
      <c r="G51" s="89"/>
      <c r="K51" s="102"/>
      <c r="T51" s="102"/>
      <c r="W51" s="102"/>
      <c r="Z51" s="102"/>
      <c r="AC51" s="102"/>
    </row>
    <row r="52" spans="5:29" ht="21" hidden="1">
      <c r="E52" s="102"/>
      <c r="K52" s="102"/>
      <c r="T52" s="102"/>
      <c r="W52" s="102"/>
      <c r="Z52" s="102"/>
      <c r="AC52" s="102"/>
    </row>
    <row r="53" spans="5:29" ht="21" hidden="1">
      <c r="E53" s="102"/>
      <c r="F53" s="102"/>
      <c r="K53" s="102"/>
      <c r="T53" s="102"/>
      <c r="W53" s="102"/>
      <c r="Z53" s="102"/>
      <c r="AC53" s="102"/>
    </row>
    <row r="54" spans="5:29" ht="21" hidden="1">
      <c r="E54" s="102"/>
      <c r="K54" s="102"/>
      <c r="T54" s="102"/>
      <c r="W54" s="102"/>
      <c r="Z54" s="102"/>
      <c r="AC54" s="102"/>
    </row>
    <row r="55" spans="5:29" ht="21" hidden="1">
      <c r="E55" s="102"/>
      <c r="K55" s="102"/>
      <c r="T55" s="102"/>
      <c r="W55" s="102"/>
      <c r="Z55" s="102"/>
      <c r="AC55" s="102"/>
    </row>
    <row r="56" spans="2:39" ht="21" hidden="1">
      <c r="B56" s="88" t="s">
        <v>310</v>
      </c>
      <c r="K56" s="89"/>
      <c r="T56" s="89"/>
      <c r="W56" s="89">
        <f>+V48+W48</f>
        <v>312158570.78</v>
      </c>
      <c r="Z56" s="89"/>
      <c r="AC56" s="89"/>
      <c r="AJ56" s="88" t="s">
        <v>311</v>
      </c>
      <c r="AK56" s="89">
        <f>49929988.81+8644039.23+37751250.84+19718635.33</f>
        <v>116043914.21000001</v>
      </c>
      <c r="AL56" s="89"/>
      <c r="AM56" s="89">
        <f>+AK48+AK56</f>
        <v>1366193630.7199998</v>
      </c>
    </row>
    <row r="57" spans="2:39" ht="21" hidden="1">
      <c r="B57" s="88" t="s">
        <v>312</v>
      </c>
      <c r="E57" s="89"/>
      <c r="F57" s="102"/>
      <c r="K57" s="102"/>
      <c r="T57" s="102"/>
      <c r="W57" s="102">
        <f>311050576.6-19683239.76-44397866</f>
        <v>246969470.84000003</v>
      </c>
      <c r="Z57" s="102"/>
      <c r="AC57" s="102"/>
      <c r="AK57" s="89"/>
      <c r="AL57" s="89"/>
      <c r="AM57" s="89"/>
    </row>
    <row r="58" spans="5:39" ht="21" hidden="1">
      <c r="E58" s="102"/>
      <c r="F58" s="102"/>
      <c r="W58" s="102">
        <f>+W56-W57</f>
        <v>65189099.93999994</v>
      </c>
      <c r="AK58" s="89">
        <f>641436+286823+81598</f>
        <v>1009857</v>
      </c>
      <c r="AL58" s="89"/>
      <c r="AM58" s="89">
        <f>+AM56+AK58</f>
        <v>1367203487.7199998</v>
      </c>
    </row>
    <row r="59" spans="5:29" ht="23.25" hidden="1">
      <c r="E59" s="102"/>
      <c r="F59" s="89"/>
      <c r="G59" s="102"/>
      <c r="K59" s="102"/>
      <c r="L59" s="89"/>
      <c r="M59" s="89"/>
      <c r="N59" s="89"/>
      <c r="O59" s="89"/>
      <c r="P59" s="89"/>
      <c r="Q59" s="89"/>
      <c r="R59" s="89"/>
      <c r="S59" s="102"/>
      <c r="T59" s="258" t="s">
        <v>313</v>
      </c>
      <c r="U59" s="258"/>
      <c r="V59" s="258"/>
      <c r="W59" s="258"/>
      <c r="X59" s="258"/>
      <c r="Y59" s="258"/>
      <c r="Z59" s="258"/>
      <c r="AA59" s="258"/>
      <c r="AB59" s="258"/>
      <c r="AC59" s="258"/>
    </row>
    <row r="60" spans="5:29" ht="21" hidden="1">
      <c r="E60" s="102"/>
      <c r="F60" s="89"/>
      <c r="G60" s="102"/>
      <c r="K60" s="102"/>
      <c r="L60" s="89"/>
      <c r="M60" s="89"/>
      <c r="N60" s="89"/>
      <c r="O60" s="89"/>
      <c r="P60" s="89"/>
      <c r="Q60" s="89"/>
      <c r="R60" s="89"/>
      <c r="S60" s="102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</row>
    <row r="61" spans="5:29" ht="21" hidden="1">
      <c r="E61" s="102"/>
      <c r="F61" s="89"/>
      <c r="G61" s="102"/>
      <c r="K61" s="102"/>
      <c r="L61" s="89"/>
      <c r="M61" s="89"/>
      <c r="N61" s="89"/>
      <c r="O61" s="89"/>
      <c r="P61" s="89"/>
      <c r="Q61" s="89"/>
      <c r="R61" s="89"/>
      <c r="S61" s="102"/>
      <c r="U61" s="2"/>
      <c r="V61" s="2"/>
      <c r="W61" s="2"/>
      <c r="X61" s="2"/>
      <c r="Y61" s="2"/>
      <c r="Z61" s="2"/>
      <c r="AA61" s="2"/>
      <c r="AB61" s="2"/>
      <c r="AC61" s="2"/>
    </row>
    <row r="62" spans="5:29" ht="23.25" hidden="1">
      <c r="E62" s="102"/>
      <c r="F62" s="89"/>
      <c r="G62" s="102"/>
      <c r="K62" s="102"/>
      <c r="L62" s="89"/>
      <c r="M62" s="89"/>
      <c r="N62" s="89"/>
      <c r="O62" s="89"/>
      <c r="P62" s="89"/>
      <c r="Q62" s="89"/>
      <c r="R62" s="89"/>
      <c r="S62" s="102"/>
      <c r="T62" s="4" t="s">
        <v>314</v>
      </c>
      <c r="U62" s="4"/>
      <c r="V62" s="122"/>
      <c r="W62" s="122"/>
      <c r="X62" s="123"/>
      <c r="Y62" s="122" t="s">
        <v>315</v>
      </c>
      <c r="Z62" s="4"/>
      <c r="AA62" s="4"/>
      <c r="AB62" s="4"/>
      <c r="AC62" s="4"/>
    </row>
    <row r="63" spans="5:29" ht="23.25" hidden="1">
      <c r="E63" s="102"/>
      <c r="F63" s="89"/>
      <c r="G63" s="102"/>
      <c r="K63" s="102"/>
      <c r="L63" s="89"/>
      <c r="M63" s="89"/>
      <c r="N63" s="89"/>
      <c r="O63" s="89"/>
      <c r="P63" s="89"/>
      <c r="Q63" s="89"/>
      <c r="R63" s="89"/>
      <c r="S63" s="102"/>
      <c r="T63" s="3" t="s">
        <v>316</v>
      </c>
      <c r="U63" s="3"/>
      <c r="V63" s="124"/>
      <c r="W63" s="124"/>
      <c r="X63" s="124"/>
      <c r="Y63" s="124" t="s">
        <v>317</v>
      </c>
      <c r="Z63" s="3"/>
      <c r="AA63" s="3"/>
      <c r="AB63" s="3"/>
      <c r="AC63" s="3"/>
    </row>
    <row r="64" spans="5:19" ht="21">
      <c r="E64" s="102"/>
      <c r="F64" s="102"/>
      <c r="G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ht="21">
      <c r="E65" s="102"/>
    </row>
  </sheetData>
  <sheetProtection/>
  <mergeCells count="26">
    <mergeCell ref="A1:AJ1"/>
    <mergeCell ref="A3:C3"/>
    <mergeCell ref="A4:A5"/>
    <mergeCell ref="B4:B5"/>
    <mergeCell ref="C4:C5"/>
    <mergeCell ref="D4:F4"/>
    <mergeCell ref="G4:I4"/>
    <mergeCell ref="J4:L4"/>
    <mergeCell ref="S4:U4"/>
    <mergeCell ref="V4:X4"/>
    <mergeCell ref="M4:O4"/>
    <mergeCell ref="AB4:AD4"/>
    <mergeCell ref="AH4:AJ4"/>
    <mergeCell ref="AK4:AK5"/>
    <mergeCell ref="A6:C6"/>
    <mergeCell ref="A24:C24"/>
    <mergeCell ref="T59:AC59"/>
    <mergeCell ref="P4:R4"/>
    <mergeCell ref="Y4:AA4"/>
    <mergeCell ref="AE4:AG4"/>
    <mergeCell ref="A25:C25"/>
    <mergeCell ref="A33:C33"/>
    <mergeCell ref="A34:C34"/>
    <mergeCell ref="A35:C35"/>
    <mergeCell ref="A47:C47"/>
    <mergeCell ref="A48:C48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D1">
      <selection activeCell="B39" sqref="B39"/>
    </sheetView>
  </sheetViews>
  <sheetFormatPr defaultColWidth="9.140625" defaultRowHeight="15"/>
  <cols>
    <col min="1" max="1" width="49.57421875" style="4" customWidth="1"/>
    <col min="2" max="2" width="14.421875" style="2" bestFit="1" customWidth="1"/>
    <col min="3" max="4" width="13.421875" style="2" bestFit="1" customWidth="1"/>
    <col min="5" max="5" width="13.7109375" style="2" bestFit="1" customWidth="1"/>
    <col min="6" max="6" width="13.421875" style="2" bestFit="1" customWidth="1"/>
    <col min="7" max="7" width="7.7109375" style="2" customWidth="1"/>
    <col min="8" max="9" width="12.7109375" style="2" customWidth="1"/>
    <col min="10" max="10" width="7.7109375" style="2" customWidth="1"/>
    <col min="11" max="12" width="12.7109375" style="2" bestFit="1" customWidth="1"/>
    <col min="13" max="13" width="7.7109375" style="2" customWidth="1"/>
    <col min="14" max="15" width="13.7109375" style="2" bestFit="1" customWidth="1"/>
    <col min="16" max="16" width="13.140625" style="2" customWidth="1"/>
    <col min="17" max="17" width="14.7109375" style="2" customWidth="1"/>
    <col min="18" max="18" width="13.7109375" style="2" customWidth="1"/>
    <col min="19" max="19" width="7.7109375" style="2" customWidth="1"/>
    <col min="20" max="20" width="14.7109375" style="2" bestFit="1" customWidth="1"/>
    <col min="21" max="22" width="13.7109375" style="2" bestFit="1" customWidth="1"/>
    <col min="23" max="23" width="14.7109375" style="2" customWidth="1"/>
    <col min="24" max="24" width="14.421875" style="2" bestFit="1" customWidth="1"/>
    <col min="25" max="25" width="7.7109375" style="2" customWidth="1"/>
    <col min="26" max="26" width="14.7109375" style="2" customWidth="1"/>
    <col min="27" max="27" width="13.7109375" style="2" customWidth="1"/>
    <col min="28" max="28" width="7.7109375" style="2" customWidth="1"/>
    <col min="29" max="29" width="14.7109375" style="2" customWidth="1"/>
    <col min="30" max="30" width="14.7109375" style="2" bestFit="1" customWidth="1"/>
    <col min="31" max="31" width="12.7109375" style="2" bestFit="1" customWidth="1"/>
    <col min="32" max="32" width="15.28125" style="2" bestFit="1" customWidth="1"/>
    <col min="33" max="33" width="13.7109375" style="2" customWidth="1"/>
    <col min="34" max="34" width="12.421875" style="2" bestFit="1" customWidth="1"/>
    <col min="35" max="35" width="15.7109375" style="4" bestFit="1" customWidth="1"/>
    <col min="36" max="36" width="14.421875" style="4" bestFit="1" customWidth="1"/>
    <col min="37" max="37" width="7.7109375" style="4" bestFit="1" customWidth="1"/>
    <col min="38" max="38" width="16.421875" style="3" bestFit="1" customWidth="1"/>
    <col min="39" max="39" width="14.7109375" style="3" bestFit="1" customWidth="1"/>
    <col min="40" max="40" width="13.7109375" style="3" bestFit="1" customWidth="1"/>
    <col min="41" max="41" width="16.421875" style="3" bestFit="1" customWidth="1"/>
    <col min="42" max="44" width="11.8515625" style="3" bestFit="1" customWidth="1"/>
    <col min="45" max="16384" width="9.00390625" style="3" customWidth="1"/>
  </cols>
  <sheetData>
    <row r="1" spans="1:41" ht="21">
      <c r="A1" s="289" t="s">
        <v>246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</row>
    <row r="2" spans="1:41" ht="21">
      <c r="A2" s="289" t="s">
        <v>158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</row>
    <row r="3" spans="1:41" ht="2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37" ht="23.25">
      <c r="A4" s="290" t="s">
        <v>221</v>
      </c>
      <c r="B4" s="290"/>
      <c r="C4" s="290"/>
      <c r="D4" s="29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2"/>
      <c r="AG4" s="3"/>
      <c r="AH4" s="3"/>
      <c r="AI4" s="3"/>
      <c r="AJ4" s="3"/>
      <c r="AK4" s="3"/>
    </row>
    <row r="5" spans="1:35" s="5" customFormat="1" ht="18.75">
      <c r="A5" s="288" t="s">
        <v>2</v>
      </c>
      <c r="B5" s="288" t="s">
        <v>26</v>
      </c>
      <c r="C5" s="288"/>
      <c r="D5" s="288"/>
      <c r="E5" s="288" t="s">
        <v>27</v>
      </c>
      <c r="F5" s="288"/>
      <c r="G5" s="288"/>
      <c r="H5" s="288" t="s">
        <v>28</v>
      </c>
      <c r="I5" s="288"/>
      <c r="J5" s="288"/>
      <c r="K5" s="288" t="s">
        <v>29</v>
      </c>
      <c r="L5" s="288"/>
      <c r="M5" s="288"/>
      <c r="N5" s="284" t="s">
        <v>191</v>
      </c>
      <c r="O5" s="284"/>
      <c r="P5" s="284"/>
      <c r="Q5" s="288" t="s">
        <v>30</v>
      </c>
      <c r="R5" s="288"/>
      <c r="S5" s="288"/>
      <c r="T5" s="288" t="s">
        <v>31</v>
      </c>
      <c r="U5" s="288"/>
      <c r="V5" s="288"/>
      <c r="W5" s="284" t="s">
        <v>192</v>
      </c>
      <c r="X5" s="284"/>
      <c r="Y5" s="284"/>
      <c r="Z5" s="288" t="s">
        <v>32</v>
      </c>
      <c r="AA5" s="288"/>
      <c r="AB5" s="288"/>
      <c r="AC5" s="284" t="s">
        <v>193</v>
      </c>
      <c r="AD5" s="284"/>
      <c r="AE5" s="284"/>
      <c r="AF5" s="285" t="s">
        <v>3</v>
      </c>
      <c r="AG5" s="285"/>
      <c r="AH5" s="285"/>
      <c r="AI5" s="286" t="s">
        <v>194</v>
      </c>
    </row>
    <row r="6" spans="1:35" s="6" customFormat="1" ht="18.75">
      <c r="A6" s="288"/>
      <c r="B6" s="11" t="s">
        <v>0</v>
      </c>
      <c r="C6" s="11" t="s">
        <v>1</v>
      </c>
      <c r="D6" s="11" t="s">
        <v>4</v>
      </c>
      <c r="E6" s="11" t="s">
        <v>0</v>
      </c>
      <c r="F6" s="11" t="s">
        <v>1</v>
      </c>
      <c r="G6" s="11" t="s">
        <v>4</v>
      </c>
      <c r="H6" s="11" t="s">
        <v>0</v>
      </c>
      <c r="I6" s="11" t="s">
        <v>1</v>
      </c>
      <c r="J6" s="11" t="s">
        <v>4</v>
      </c>
      <c r="K6" s="11" t="s">
        <v>0</v>
      </c>
      <c r="L6" s="11" t="s">
        <v>1</v>
      </c>
      <c r="M6" s="11" t="s">
        <v>4</v>
      </c>
      <c r="N6" s="11" t="s">
        <v>0</v>
      </c>
      <c r="O6" s="11" t="s">
        <v>1</v>
      </c>
      <c r="P6" s="11" t="s">
        <v>4</v>
      </c>
      <c r="Q6" s="11" t="s">
        <v>0</v>
      </c>
      <c r="R6" s="11" t="s">
        <v>1</v>
      </c>
      <c r="S6" s="11" t="s">
        <v>4</v>
      </c>
      <c r="T6" s="11" t="s">
        <v>0</v>
      </c>
      <c r="U6" s="11" t="s">
        <v>1</v>
      </c>
      <c r="V6" s="11" t="s">
        <v>4</v>
      </c>
      <c r="W6" s="11" t="s">
        <v>0</v>
      </c>
      <c r="X6" s="11" t="s">
        <v>1</v>
      </c>
      <c r="Y6" s="11" t="s">
        <v>4</v>
      </c>
      <c r="Z6" s="11" t="s">
        <v>0</v>
      </c>
      <c r="AA6" s="11" t="s">
        <v>1</v>
      </c>
      <c r="AB6" s="11" t="s">
        <v>4</v>
      </c>
      <c r="AC6" s="11" t="s">
        <v>0</v>
      </c>
      <c r="AD6" s="11" t="s">
        <v>1</v>
      </c>
      <c r="AE6" s="11" t="s">
        <v>4</v>
      </c>
      <c r="AF6" s="11" t="s">
        <v>0</v>
      </c>
      <c r="AG6" s="11" t="s">
        <v>1</v>
      </c>
      <c r="AH6" s="11" t="s">
        <v>4</v>
      </c>
      <c r="AI6" s="284"/>
    </row>
    <row r="7" spans="1:35" s="6" customFormat="1" ht="18.75">
      <c r="A7" s="28" t="s">
        <v>5</v>
      </c>
      <c r="B7" s="1"/>
      <c r="C7" s="1"/>
      <c r="D7" s="1"/>
      <c r="E7" s="1"/>
      <c r="F7" s="1"/>
      <c r="G7" s="1"/>
      <c r="H7" s="1"/>
      <c r="I7" s="1"/>
      <c r="J7" s="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  <c r="X7" s="1"/>
      <c r="Y7" s="1"/>
      <c r="Z7" s="11"/>
      <c r="AA7" s="11"/>
      <c r="AB7" s="11"/>
      <c r="AC7" s="1"/>
      <c r="AD7" s="1"/>
      <c r="AE7" s="1"/>
      <c r="AF7" s="1"/>
      <c r="AG7" s="1"/>
      <c r="AH7" s="1"/>
      <c r="AI7" s="1"/>
    </row>
    <row r="8" spans="1:35" s="6" customFormat="1" ht="21">
      <c r="A8" s="12" t="s">
        <v>223</v>
      </c>
      <c r="B8" s="94">
        <v>33905361.75</v>
      </c>
      <c r="C8" s="94">
        <v>3832028.9899999998</v>
      </c>
      <c r="D8" s="94">
        <v>200502.59</v>
      </c>
      <c r="E8" s="94"/>
      <c r="F8" s="94">
        <v>516430</v>
      </c>
      <c r="G8" s="94"/>
      <c r="H8" s="94"/>
      <c r="I8" s="94">
        <v>288944.86</v>
      </c>
      <c r="J8" s="94"/>
      <c r="K8" s="94"/>
      <c r="L8" s="94"/>
      <c r="M8" s="94"/>
      <c r="N8" s="94">
        <f aca="true" t="shared" si="0" ref="N8:N24">+B8+E8+H8+K8</f>
        <v>33905361.75</v>
      </c>
      <c r="O8" s="94">
        <f aca="true" t="shared" si="1" ref="O8:P23">+C8+F8+I8+L8</f>
        <v>4637403.850000001</v>
      </c>
      <c r="P8" s="94">
        <f t="shared" si="1"/>
        <v>200502.59</v>
      </c>
      <c r="Q8" s="94">
        <v>7052155.63</v>
      </c>
      <c r="R8" s="94">
        <v>12946787.920000002</v>
      </c>
      <c r="S8" s="94"/>
      <c r="T8" s="94">
        <v>36150863.99</v>
      </c>
      <c r="U8" s="94">
        <v>3441464.32</v>
      </c>
      <c r="V8" s="127"/>
      <c r="W8" s="97">
        <f>+Q8+T8</f>
        <v>43203019.620000005</v>
      </c>
      <c r="X8" s="97">
        <f aca="true" t="shared" si="2" ref="X8:Y23">+R8+U8</f>
        <v>16388252.240000002</v>
      </c>
      <c r="Y8" s="97">
        <f t="shared" si="2"/>
        <v>0</v>
      </c>
      <c r="Z8" s="136"/>
      <c r="AA8" s="94">
        <v>1048530</v>
      </c>
      <c r="AB8" s="94"/>
      <c r="AC8" s="94">
        <f>+Z8</f>
        <v>0</v>
      </c>
      <c r="AD8" s="94">
        <f aca="true" t="shared" si="3" ref="AD8:AE23">+AA8</f>
        <v>1048530</v>
      </c>
      <c r="AE8" s="94">
        <f t="shared" si="3"/>
        <v>0</v>
      </c>
      <c r="AF8" s="1">
        <f>+N8+W8+AC8</f>
        <v>77108381.37</v>
      </c>
      <c r="AG8" s="1">
        <f>+O8+X8+AD8</f>
        <v>22074186.090000004</v>
      </c>
      <c r="AH8" s="1">
        <f>+P8+Y8+AE8</f>
        <v>200502.59</v>
      </c>
      <c r="AI8" s="1">
        <f>+AF8+AG8+AH8</f>
        <v>99383070.05000001</v>
      </c>
    </row>
    <row r="9" spans="1:35" s="6" customFormat="1" ht="21">
      <c r="A9" s="12" t="s">
        <v>224</v>
      </c>
      <c r="B9" s="94">
        <v>18579669.37</v>
      </c>
      <c r="C9" s="94">
        <v>4491812.800000001</v>
      </c>
      <c r="D9" s="94">
        <v>273362.31</v>
      </c>
      <c r="E9" s="94">
        <v>14948</v>
      </c>
      <c r="F9" s="94">
        <v>472790</v>
      </c>
      <c r="G9" s="94"/>
      <c r="H9" s="94"/>
      <c r="I9" s="94"/>
      <c r="J9" s="94"/>
      <c r="K9" s="94"/>
      <c r="L9" s="94"/>
      <c r="M9" s="94"/>
      <c r="N9" s="94">
        <f t="shared" si="0"/>
        <v>18594617.37</v>
      </c>
      <c r="O9" s="94">
        <f t="shared" si="1"/>
        <v>4964602.800000001</v>
      </c>
      <c r="P9" s="94">
        <f t="shared" si="1"/>
        <v>273362.31</v>
      </c>
      <c r="Q9" s="94">
        <v>3581785</v>
      </c>
      <c r="R9" s="94">
        <v>13470433.73</v>
      </c>
      <c r="S9" s="94"/>
      <c r="T9" s="94">
        <v>22534471.75</v>
      </c>
      <c r="U9" s="94">
        <v>2106857.15</v>
      </c>
      <c r="V9" s="127"/>
      <c r="W9" s="97">
        <f aca="true" t="shared" si="4" ref="W9:Y33">+Q9+T9</f>
        <v>26116256.75</v>
      </c>
      <c r="X9" s="97">
        <f t="shared" si="2"/>
        <v>15577290.88</v>
      </c>
      <c r="Y9" s="97">
        <f t="shared" si="2"/>
        <v>0</v>
      </c>
      <c r="Z9" s="136"/>
      <c r="AA9" s="94">
        <v>1115000</v>
      </c>
      <c r="AB9" s="94"/>
      <c r="AC9" s="94">
        <f aca="true" t="shared" si="5" ref="AC9:AE33">+Z9</f>
        <v>0</v>
      </c>
      <c r="AD9" s="94">
        <f t="shared" si="3"/>
        <v>1115000</v>
      </c>
      <c r="AE9" s="94">
        <f t="shared" si="3"/>
        <v>0</v>
      </c>
      <c r="AF9" s="1">
        <f aca="true" t="shared" si="6" ref="AF9:AF35">+N9+W9+AC9</f>
        <v>44710874.120000005</v>
      </c>
      <c r="AG9" s="1">
        <f aca="true" t="shared" si="7" ref="AG9:AG35">+O9+X9+AD9</f>
        <v>21656893.68</v>
      </c>
      <c r="AH9" s="1">
        <f aca="true" t="shared" si="8" ref="AH9:AH35">+P9+Y9+AE9</f>
        <v>273362.31</v>
      </c>
      <c r="AI9" s="1">
        <f aca="true" t="shared" si="9" ref="AI9:AI35">+AF9+AG9+AH9</f>
        <v>66641130.11000001</v>
      </c>
    </row>
    <row r="10" spans="1:35" s="6" customFormat="1" ht="21">
      <c r="A10" s="12" t="s">
        <v>225</v>
      </c>
      <c r="B10" s="94">
        <v>32866729.48</v>
      </c>
      <c r="C10" s="94">
        <v>4263557.21</v>
      </c>
      <c r="D10" s="94">
        <v>132845.38</v>
      </c>
      <c r="E10" s="94">
        <v>65914</v>
      </c>
      <c r="F10" s="94">
        <v>1124370</v>
      </c>
      <c r="G10" s="94"/>
      <c r="H10" s="94">
        <v>4590</v>
      </c>
      <c r="I10" s="94">
        <v>720</v>
      </c>
      <c r="J10" s="94"/>
      <c r="K10" s="94"/>
      <c r="L10" s="94"/>
      <c r="M10" s="94"/>
      <c r="N10" s="94">
        <f t="shared" si="0"/>
        <v>32937233.48</v>
      </c>
      <c r="O10" s="94">
        <f t="shared" si="1"/>
        <v>5388647.21</v>
      </c>
      <c r="P10" s="94">
        <f t="shared" si="1"/>
        <v>132845.38</v>
      </c>
      <c r="Q10" s="94">
        <v>5229056.36</v>
      </c>
      <c r="R10" s="94">
        <v>8038402.41</v>
      </c>
      <c r="S10" s="94"/>
      <c r="T10" s="94">
        <v>13370281.56</v>
      </c>
      <c r="U10" s="94">
        <v>4086279.14</v>
      </c>
      <c r="V10" s="127"/>
      <c r="W10" s="97">
        <f t="shared" si="4"/>
        <v>18599337.92</v>
      </c>
      <c r="X10" s="97">
        <f t="shared" si="2"/>
        <v>12124681.55</v>
      </c>
      <c r="Y10" s="97">
        <f t="shared" si="2"/>
        <v>0</v>
      </c>
      <c r="Z10" s="136"/>
      <c r="AA10" s="94">
        <v>1828370</v>
      </c>
      <c r="AB10" s="94"/>
      <c r="AC10" s="94">
        <f t="shared" si="5"/>
        <v>0</v>
      </c>
      <c r="AD10" s="94">
        <f t="shared" si="3"/>
        <v>1828370</v>
      </c>
      <c r="AE10" s="94">
        <f t="shared" si="3"/>
        <v>0</v>
      </c>
      <c r="AF10" s="1">
        <f t="shared" si="6"/>
        <v>51536571.400000006</v>
      </c>
      <c r="AG10" s="1">
        <f t="shared" si="7"/>
        <v>19341698.76</v>
      </c>
      <c r="AH10" s="1">
        <f t="shared" si="8"/>
        <v>132845.38</v>
      </c>
      <c r="AI10" s="1">
        <f t="shared" si="9"/>
        <v>71011115.54</v>
      </c>
    </row>
    <row r="11" spans="1:35" s="6" customFormat="1" ht="21">
      <c r="A11" s="12" t="s">
        <v>226</v>
      </c>
      <c r="B11" s="94">
        <v>18125144.16</v>
      </c>
      <c r="C11" s="94">
        <v>1705273.25</v>
      </c>
      <c r="D11" s="94">
        <v>43050.46</v>
      </c>
      <c r="E11" s="94"/>
      <c r="F11" s="94">
        <v>276638</v>
      </c>
      <c r="G11" s="94"/>
      <c r="H11" s="94"/>
      <c r="I11" s="94">
        <v>6419</v>
      </c>
      <c r="J11" s="94"/>
      <c r="K11" s="94"/>
      <c r="L11" s="94"/>
      <c r="M11" s="94"/>
      <c r="N11" s="94">
        <f t="shared" si="0"/>
        <v>18125144.16</v>
      </c>
      <c r="O11" s="94">
        <f t="shared" si="1"/>
        <v>1988330.25</v>
      </c>
      <c r="P11" s="94">
        <f t="shared" si="1"/>
        <v>43050.46</v>
      </c>
      <c r="Q11" s="94">
        <v>34430</v>
      </c>
      <c r="R11" s="94">
        <v>1189285.79</v>
      </c>
      <c r="S11" s="94"/>
      <c r="T11" s="94">
        <v>4401113.72</v>
      </c>
      <c r="U11" s="94">
        <v>351665.28</v>
      </c>
      <c r="V11" s="127"/>
      <c r="W11" s="97">
        <f t="shared" si="4"/>
        <v>4435543.72</v>
      </c>
      <c r="X11" s="97">
        <f t="shared" si="2"/>
        <v>1540951.07</v>
      </c>
      <c r="Y11" s="97">
        <f t="shared" si="2"/>
        <v>0</v>
      </c>
      <c r="Z11" s="136"/>
      <c r="AA11" s="94">
        <v>225000</v>
      </c>
      <c r="AB11" s="94"/>
      <c r="AC11" s="94">
        <f t="shared" si="5"/>
        <v>0</v>
      </c>
      <c r="AD11" s="94">
        <f t="shared" si="3"/>
        <v>225000</v>
      </c>
      <c r="AE11" s="94">
        <f t="shared" si="3"/>
        <v>0</v>
      </c>
      <c r="AF11" s="1">
        <f t="shared" si="6"/>
        <v>22560687.88</v>
      </c>
      <c r="AG11" s="1">
        <f t="shared" si="7"/>
        <v>3754281.3200000003</v>
      </c>
      <c r="AH11" s="1">
        <f t="shared" si="8"/>
        <v>43050.46</v>
      </c>
      <c r="AI11" s="1">
        <f t="shared" si="9"/>
        <v>26358019.66</v>
      </c>
    </row>
    <row r="12" spans="1:35" s="6" customFormat="1" ht="21">
      <c r="A12" s="12" t="s">
        <v>227</v>
      </c>
      <c r="B12" s="94">
        <v>17898134.57</v>
      </c>
      <c r="C12" s="94">
        <v>2577608.7399999998</v>
      </c>
      <c r="D12" s="94">
        <v>68633.68</v>
      </c>
      <c r="E12" s="94"/>
      <c r="F12" s="94">
        <v>630919</v>
      </c>
      <c r="G12" s="94"/>
      <c r="H12" s="94"/>
      <c r="I12" s="94">
        <v>23676</v>
      </c>
      <c r="J12" s="94"/>
      <c r="K12" s="94"/>
      <c r="L12" s="94"/>
      <c r="M12" s="94"/>
      <c r="N12" s="94">
        <f t="shared" si="0"/>
        <v>17898134.57</v>
      </c>
      <c r="O12" s="94">
        <f t="shared" si="1"/>
        <v>3232203.7399999998</v>
      </c>
      <c r="P12" s="94">
        <f t="shared" si="1"/>
        <v>68633.68</v>
      </c>
      <c r="Q12" s="94">
        <v>5446</v>
      </c>
      <c r="R12" s="94">
        <v>4573032.2</v>
      </c>
      <c r="S12" s="94"/>
      <c r="T12" s="94">
        <v>11211794.42</v>
      </c>
      <c r="U12" s="94">
        <v>2622786.35</v>
      </c>
      <c r="V12" s="127"/>
      <c r="W12" s="97">
        <f t="shared" si="4"/>
        <v>11217240.42</v>
      </c>
      <c r="X12" s="97">
        <f t="shared" si="2"/>
        <v>7195818.550000001</v>
      </c>
      <c r="Y12" s="97">
        <f t="shared" si="2"/>
        <v>0</v>
      </c>
      <c r="Z12" s="136"/>
      <c r="AA12" s="94">
        <v>832130</v>
      </c>
      <c r="AB12" s="94"/>
      <c r="AC12" s="94">
        <f t="shared" si="5"/>
        <v>0</v>
      </c>
      <c r="AD12" s="94">
        <f t="shared" si="3"/>
        <v>832130</v>
      </c>
      <c r="AE12" s="94">
        <f t="shared" si="3"/>
        <v>0</v>
      </c>
      <c r="AF12" s="1">
        <f t="shared" si="6"/>
        <v>29115374.990000002</v>
      </c>
      <c r="AG12" s="1">
        <f t="shared" si="7"/>
        <v>11260152.290000001</v>
      </c>
      <c r="AH12" s="1">
        <f t="shared" si="8"/>
        <v>68633.68</v>
      </c>
      <c r="AI12" s="1">
        <f t="shared" si="9"/>
        <v>40444160.96</v>
      </c>
    </row>
    <row r="13" spans="1:35" s="6" customFormat="1" ht="21">
      <c r="A13" s="12" t="s">
        <v>228</v>
      </c>
      <c r="B13" s="94">
        <v>16030156.52</v>
      </c>
      <c r="C13" s="94">
        <v>2058569.7</v>
      </c>
      <c r="D13" s="94">
        <v>23225.68</v>
      </c>
      <c r="E13" s="94"/>
      <c r="F13" s="94">
        <v>64800</v>
      </c>
      <c r="G13" s="94"/>
      <c r="H13" s="94">
        <v>480</v>
      </c>
      <c r="I13" s="94"/>
      <c r="J13" s="94"/>
      <c r="K13" s="94"/>
      <c r="L13" s="94"/>
      <c r="M13" s="94"/>
      <c r="N13" s="94">
        <f t="shared" si="0"/>
        <v>16030636.52</v>
      </c>
      <c r="O13" s="94">
        <f t="shared" si="1"/>
        <v>2123369.7</v>
      </c>
      <c r="P13" s="94">
        <f t="shared" si="1"/>
        <v>23225.68</v>
      </c>
      <c r="Q13" s="94">
        <v>18182</v>
      </c>
      <c r="R13" s="94">
        <v>2023357.56</v>
      </c>
      <c r="S13" s="94"/>
      <c r="T13" s="94">
        <v>7872523.27</v>
      </c>
      <c r="U13" s="94">
        <v>1359929.11</v>
      </c>
      <c r="V13" s="127"/>
      <c r="W13" s="97">
        <f t="shared" si="4"/>
        <v>7890705.27</v>
      </c>
      <c r="X13" s="97">
        <f t="shared" si="2"/>
        <v>3383286.67</v>
      </c>
      <c r="Y13" s="97">
        <f t="shared" si="2"/>
        <v>0</v>
      </c>
      <c r="Z13" s="136"/>
      <c r="AA13" s="94">
        <v>115000</v>
      </c>
      <c r="AB13" s="94"/>
      <c r="AC13" s="94">
        <f t="shared" si="5"/>
        <v>0</v>
      </c>
      <c r="AD13" s="94">
        <f t="shared" si="3"/>
        <v>115000</v>
      </c>
      <c r="AE13" s="94">
        <f t="shared" si="3"/>
        <v>0</v>
      </c>
      <c r="AF13" s="1">
        <f t="shared" si="6"/>
        <v>23921341.79</v>
      </c>
      <c r="AG13" s="1">
        <f t="shared" si="7"/>
        <v>5621656.37</v>
      </c>
      <c r="AH13" s="1">
        <f t="shared" si="8"/>
        <v>23225.68</v>
      </c>
      <c r="AI13" s="1">
        <f t="shared" si="9"/>
        <v>29566223.84</v>
      </c>
    </row>
    <row r="14" spans="1:35" s="6" customFormat="1" ht="21">
      <c r="A14" s="12" t="s">
        <v>6</v>
      </c>
      <c r="B14" s="94">
        <v>27530610.83</v>
      </c>
      <c r="C14" s="94">
        <v>1699976.01</v>
      </c>
      <c r="D14" s="94">
        <v>101017</v>
      </c>
      <c r="E14" s="94"/>
      <c r="F14" s="94">
        <v>49518</v>
      </c>
      <c r="G14" s="94">
        <v>0</v>
      </c>
      <c r="H14" s="94">
        <v>111672</v>
      </c>
      <c r="I14" s="94">
        <v>25392</v>
      </c>
      <c r="J14" s="94">
        <v>0</v>
      </c>
      <c r="K14" s="94"/>
      <c r="L14" s="94"/>
      <c r="M14" s="94"/>
      <c r="N14" s="94">
        <f t="shared" si="0"/>
        <v>27642282.83</v>
      </c>
      <c r="O14" s="94">
        <f t="shared" si="1"/>
        <v>1774886.01</v>
      </c>
      <c r="P14" s="94">
        <f t="shared" si="1"/>
        <v>101017</v>
      </c>
      <c r="Q14" s="94">
        <v>1730176.55</v>
      </c>
      <c r="R14" s="94">
        <v>2413054.92</v>
      </c>
      <c r="S14" s="94">
        <v>0</v>
      </c>
      <c r="T14" s="94">
        <v>18181976.44</v>
      </c>
      <c r="U14" s="94">
        <v>1501263.32</v>
      </c>
      <c r="V14" s="127">
        <v>0</v>
      </c>
      <c r="W14" s="97">
        <f t="shared" si="4"/>
        <v>19912152.990000002</v>
      </c>
      <c r="X14" s="97">
        <f t="shared" si="2"/>
        <v>3914318.24</v>
      </c>
      <c r="Y14" s="97">
        <f t="shared" si="2"/>
        <v>0</v>
      </c>
      <c r="Z14" s="136">
        <v>52596</v>
      </c>
      <c r="AA14" s="94">
        <v>0</v>
      </c>
      <c r="AB14" s="94">
        <v>0</v>
      </c>
      <c r="AC14" s="94">
        <f t="shared" si="5"/>
        <v>52596</v>
      </c>
      <c r="AD14" s="94">
        <f t="shared" si="3"/>
        <v>0</v>
      </c>
      <c r="AE14" s="94">
        <f t="shared" si="3"/>
        <v>0</v>
      </c>
      <c r="AF14" s="1">
        <f t="shared" si="6"/>
        <v>47607031.82</v>
      </c>
      <c r="AG14" s="1">
        <f t="shared" si="7"/>
        <v>5689204.25</v>
      </c>
      <c r="AH14" s="1">
        <f t="shared" si="8"/>
        <v>101017</v>
      </c>
      <c r="AI14" s="1">
        <f t="shared" si="9"/>
        <v>53397253.07</v>
      </c>
    </row>
    <row r="15" spans="1:35" s="6" customFormat="1" ht="21">
      <c r="A15" s="12" t="s">
        <v>7</v>
      </c>
      <c r="B15" s="97">
        <v>34567487</v>
      </c>
      <c r="C15" s="97">
        <v>2607599.91</v>
      </c>
      <c r="D15" s="97">
        <v>125825.5</v>
      </c>
      <c r="E15" s="97">
        <v>1322572</v>
      </c>
      <c r="F15" s="98">
        <v>0</v>
      </c>
      <c r="G15" s="97">
        <v>0</v>
      </c>
      <c r="H15" s="97">
        <v>12460.8</v>
      </c>
      <c r="I15" s="97">
        <v>242733.83</v>
      </c>
      <c r="J15" s="97">
        <v>0</v>
      </c>
      <c r="K15" s="97">
        <v>0</v>
      </c>
      <c r="L15" s="97">
        <v>2268269</v>
      </c>
      <c r="M15" s="97">
        <v>0</v>
      </c>
      <c r="N15" s="94">
        <f t="shared" si="0"/>
        <v>35902519.8</v>
      </c>
      <c r="O15" s="94">
        <f t="shared" si="1"/>
        <v>5118602.74</v>
      </c>
      <c r="P15" s="94">
        <f t="shared" si="1"/>
        <v>125825.5</v>
      </c>
      <c r="Q15" s="97">
        <v>2056786.12</v>
      </c>
      <c r="R15" s="97">
        <v>1525259.3900000006</v>
      </c>
      <c r="S15" s="97">
        <v>0</v>
      </c>
      <c r="T15" s="97">
        <v>11544268.42</v>
      </c>
      <c r="U15" s="97">
        <v>2112288.02</v>
      </c>
      <c r="V15" s="128">
        <v>0</v>
      </c>
      <c r="W15" s="97">
        <f t="shared" si="4"/>
        <v>13601054.54</v>
      </c>
      <c r="X15" s="97">
        <f t="shared" si="2"/>
        <v>3637547.4100000006</v>
      </c>
      <c r="Y15" s="97">
        <f t="shared" si="2"/>
        <v>0</v>
      </c>
      <c r="Z15" s="135"/>
      <c r="AA15" s="93"/>
      <c r="AB15" s="93"/>
      <c r="AC15" s="94">
        <f t="shared" si="5"/>
        <v>0</v>
      </c>
      <c r="AD15" s="94">
        <f t="shared" si="3"/>
        <v>0</v>
      </c>
      <c r="AE15" s="94">
        <f t="shared" si="3"/>
        <v>0</v>
      </c>
      <c r="AF15" s="1">
        <f t="shared" si="6"/>
        <v>49503574.339999996</v>
      </c>
      <c r="AG15" s="1">
        <f t="shared" si="7"/>
        <v>8756150.15</v>
      </c>
      <c r="AH15" s="1">
        <f t="shared" si="8"/>
        <v>125825.5</v>
      </c>
      <c r="AI15" s="1">
        <f t="shared" si="9"/>
        <v>58385549.989999995</v>
      </c>
    </row>
    <row r="16" spans="1:35" s="6" customFormat="1" ht="21">
      <c r="A16" s="12" t="s">
        <v>8</v>
      </c>
      <c r="B16" s="97">
        <v>0</v>
      </c>
      <c r="C16" s="97">
        <v>1956798.68</v>
      </c>
      <c r="D16" s="97">
        <v>790</v>
      </c>
      <c r="E16" s="97">
        <v>689000</v>
      </c>
      <c r="F16" s="98">
        <v>0</v>
      </c>
      <c r="G16" s="97">
        <v>0</v>
      </c>
      <c r="H16" s="97">
        <v>0</v>
      </c>
      <c r="I16" s="97">
        <v>4834</v>
      </c>
      <c r="J16" s="97">
        <v>0</v>
      </c>
      <c r="K16" s="97">
        <v>0</v>
      </c>
      <c r="L16" s="97">
        <v>357735</v>
      </c>
      <c r="M16" s="97">
        <v>0</v>
      </c>
      <c r="N16" s="94">
        <f t="shared" si="0"/>
        <v>689000</v>
      </c>
      <c r="O16" s="94">
        <f t="shared" si="1"/>
        <v>2319367.6799999997</v>
      </c>
      <c r="P16" s="94">
        <f t="shared" si="1"/>
        <v>790</v>
      </c>
      <c r="Q16" s="97">
        <v>0</v>
      </c>
      <c r="R16" s="97">
        <v>1883574.9500000002</v>
      </c>
      <c r="S16" s="97">
        <v>0</v>
      </c>
      <c r="T16" s="97">
        <v>3964245.38</v>
      </c>
      <c r="U16" s="97">
        <v>1562305.1</v>
      </c>
      <c r="V16" s="128">
        <v>0</v>
      </c>
      <c r="W16" s="97">
        <f t="shared" si="4"/>
        <v>3964245.38</v>
      </c>
      <c r="X16" s="97">
        <f t="shared" si="2"/>
        <v>3445880.0500000003</v>
      </c>
      <c r="Y16" s="97">
        <f t="shared" si="2"/>
        <v>0</v>
      </c>
      <c r="Z16" s="135"/>
      <c r="AA16" s="93"/>
      <c r="AB16" s="93"/>
      <c r="AC16" s="94">
        <f t="shared" si="5"/>
        <v>0</v>
      </c>
      <c r="AD16" s="94">
        <f t="shared" si="3"/>
        <v>0</v>
      </c>
      <c r="AE16" s="94">
        <f t="shared" si="3"/>
        <v>0</v>
      </c>
      <c r="AF16" s="1">
        <f t="shared" si="6"/>
        <v>4653245.38</v>
      </c>
      <c r="AG16" s="1">
        <f t="shared" si="7"/>
        <v>5765247.73</v>
      </c>
      <c r="AH16" s="1">
        <f t="shared" si="8"/>
        <v>790</v>
      </c>
      <c r="AI16" s="1">
        <f t="shared" si="9"/>
        <v>10419283.11</v>
      </c>
    </row>
    <row r="17" spans="1:37" ht="21">
      <c r="A17" s="12" t="s">
        <v>9</v>
      </c>
      <c r="B17" s="97">
        <v>22170731.380000003</v>
      </c>
      <c r="C17" s="97">
        <v>4728846.71</v>
      </c>
      <c r="D17" s="97">
        <v>78484.5</v>
      </c>
      <c r="E17" s="97">
        <v>429122</v>
      </c>
      <c r="F17" s="98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893950</v>
      </c>
      <c r="M17" s="97">
        <v>0</v>
      </c>
      <c r="N17" s="94">
        <f t="shared" si="0"/>
        <v>22599853.380000003</v>
      </c>
      <c r="O17" s="94">
        <f t="shared" si="1"/>
        <v>5622796.71</v>
      </c>
      <c r="P17" s="94">
        <f t="shared" si="1"/>
        <v>78484.5</v>
      </c>
      <c r="Q17" s="97">
        <v>10000</v>
      </c>
      <c r="R17" s="97">
        <v>3474437.91</v>
      </c>
      <c r="S17" s="97">
        <v>0</v>
      </c>
      <c r="T17" s="97">
        <v>8731208.73</v>
      </c>
      <c r="U17" s="97">
        <v>1691462.2200000002</v>
      </c>
      <c r="V17" s="128">
        <v>0</v>
      </c>
      <c r="W17" s="97">
        <f t="shared" si="4"/>
        <v>8741208.73</v>
      </c>
      <c r="X17" s="97">
        <f t="shared" si="2"/>
        <v>5165900.130000001</v>
      </c>
      <c r="Y17" s="97">
        <f t="shared" si="2"/>
        <v>0</v>
      </c>
      <c r="Z17" s="135"/>
      <c r="AA17" s="93"/>
      <c r="AB17" s="93"/>
      <c r="AC17" s="94">
        <f t="shared" si="5"/>
        <v>0</v>
      </c>
      <c r="AD17" s="94">
        <f t="shared" si="3"/>
        <v>0</v>
      </c>
      <c r="AE17" s="94">
        <f t="shared" si="3"/>
        <v>0</v>
      </c>
      <c r="AF17" s="1">
        <f t="shared" si="6"/>
        <v>31341062.110000003</v>
      </c>
      <c r="AG17" s="1">
        <f t="shared" si="7"/>
        <v>10788696.84</v>
      </c>
      <c r="AH17" s="1">
        <f t="shared" si="8"/>
        <v>78484.5</v>
      </c>
      <c r="AI17" s="1">
        <f t="shared" si="9"/>
        <v>42208243.45</v>
      </c>
      <c r="AJ17" s="3"/>
      <c r="AK17" s="3"/>
    </row>
    <row r="18" spans="1:35" s="6" customFormat="1" ht="21">
      <c r="A18" s="12" t="s">
        <v>10</v>
      </c>
      <c r="B18" s="93"/>
      <c r="C18" s="93"/>
      <c r="D18" s="93"/>
      <c r="E18" s="93"/>
      <c r="F18" s="94"/>
      <c r="G18" s="93"/>
      <c r="H18" s="93"/>
      <c r="I18" s="93"/>
      <c r="J18" s="93"/>
      <c r="K18" s="93"/>
      <c r="L18" s="94"/>
      <c r="M18" s="93"/>
      <c r="N18" s="94">
        <f t="shared" si="0"/>
        <v>0</v>
      </c>
      <c r="O18" s="94">
        <f t="shared" si="1"/>
        <v>0</v>
      </c>
      <c r="P18" s="94">
        <f t="shared" si="1"/>
        <v>0</v>
      </c>
      <c r="Q18" s="93"/>
      <c r="R18" s="93"/>
      <c r="S18" s="93"/>
      <c r="T18" s="94">
        <v>924243.09</v>
      </c>
      <c r="U18" s="94">
        <f>519962.36+29716.46</f>
        <v>549678.82</v>
      </c>
      <c r="V18" s="126"/>
      <c r="W18" s="97">
        <f t="shared" si="4"/>
        <v>924243.09</v>
      </c>
      <c r="X18" s="97">
        <f t="shared" si="2"/>
        <v>549678.82</v>
      </c>
      <c r="Y18" s="97">
        <f t="shared" si="2"/>
        <v>0</v>
      </c>
      <c r="Z18" s="135"/>
      <c r="AA18" s="93"/>
      <c r="AB18" s="93"/>
      <c r="AC18" s="94">
        <f t="shared" si="5"/>
        <v>0</v>
      </c>
      <c r="AD18" s="94">
        <f t="shared" si="3"/>
        <v>0</v>
      </c>
      <c r="AE18" s="94">
        <f t="shared" si="3"/>
        <v>0</v>
      </c>
      <c r="AF18" s="1">
        <f t="shared" si="6"/>
        <v>924243.09</v>
      </c>
      <c r="AG18" s="1">
        <f t="shared" si="7"/>
        <v>549678.82</v>
      </c>
      <c r="AH18" s="1">
        <f t="shared" si="8"/>
        <v>0</v>
      </c>
      <c r="AI18" s="1">
        <f t="shared" si="9"/>
        <v>1473921.91</v>
      </c>
    </row>
    <row r="19" spans="1:35" s="6" customFormat="1" ht="21">
      <c r="A19" s="12" t="s">
        <v>11</v>
      </c>
      <c r="B19" s="94">
        <v>16113626.73</v>
      </c>
      <c r="C19" s="94">
        <f>485450+5836</f>
        <v>491286</v>
      </c>
      <c r="D19" s="94">
        <v>122161</v>
      </c>
      <c r="E19" s="94"/>
      <c r="F19" s="94">
        <v>7460</v>
      </c>
      <c r="G19" s="93"/>
      <c r="H19" s="94">
        <v>14524</v>
      </c>
      <c r="I19" s="94"/>
      <c r="J19" s="93"/>
      <c r="K19" s="94"/>
      <c r="L19" s="94">
        <f>138800</f>
        <v>138800</v>
      </c>
      <c r="M19" s="93"/>
      <c r="N19" s="94">
        <f t="shared" si="0"/>
        <v>16128150.73</v>
      </c>
      <c r="O19" s="94">
        <f t="shared" si="1"/>
        <v>637546</v>
      </c>
      <c r="P19" s="94">
        <f t="shared" si="1"/>
        <v>122161</v>
      </c>
      <c r="Q19" s="94">
        <v>1752258.76</v>
      </c>
      <c r="R19" s="94">
        <v>191968.49</v>
      </c>
      <c r="S19" s="93"/>
      <c r="T19" s="94">
        <f>6582068.93+1074794.52+721411.68+2+10637.56</f>
        <v>8388914.69</v>
      </c>
      <c r="U19" s="94">
        <f>351714.15+497828.63+29815.18-17550</f>
        <v>861807.9600000001</v>
      </c>
      <c r="V19" s="126"/>
      <c r="W19" s="97">
        <f t="shared" si="4"/>
        <v>10141173.45</v>
      </c>
      <c r="X19" s="97">
        <f t="shared" si="2"/>
        <v>1053776.4500000002</v>
      </c>
      <c r="Y19" s="97">
        <f t="shared" si="2"/>
        <v>0</v>
      </c>
      <c r="Z19" s="135"/>
      <c r="AA19" s="94">
        <v>226896</v>
      </c>
      <c r="AB19" s="93"/>
      <c r="AC19" s="94">
        <f t="shared" si="5"/>
        <v>0</v>
      </c>
      <c r="AD19" s="94">
        <f t="shared" si="3"/>
        <v>226896</v>
      </c>
      <c r="AE19" s="94">
        <f t="shared" si="3"/>
        <v>0</v>
      </c>
      <c r="AF19" s="1">
        <f t="shared" si="6"/>
        <v>26269324.18</v>
      </c>
      <c r="AG19" s="1">
        <f t="shared" si="7"/>
        <v>1918218.4500000002</v>
      </c>
      <c r="AH19" s="1">
        <f t="shared" si="8"/>
        <v>122161</v>
      </c>
      <c r="AI19" s="1">
        <f t="shared" si="9"/>
        <v>28309703.63</v>
      </c>
    </row>
    <row r="20" spans="1:35" s="6" customFormat="1" ht="21">
      <c r="A20" s="12" t="s">
        <v>12</v>
      </c>
      <c r="B20" s="94">
        <v>5495667.23</v>
      </c>
      <c r="C20" s="94">
        <v>303278</v>
      </c>
      <c r="D20" s="94">
        <v>73650</v>
      </c>
      <c r="E20" s="94">
        <v>43000</v>
      </c>
      <c r="F20" s="94">
        <v>6700</v>
      </c>
      <c r="G20" s="93"/>
      <c r="H20" s="94">
        <v>5476</v>
      </c>
      <c r="I20" s="94">
        <v>8696</v>
      </c>
      <c r="J20" s="93"/>
      <c r="K20" s="94"/>
      <c r="L20" s="94">
        <f>139500</f>
        <v>139500</v>
      </c>
      <c r="M20" s="93"/>
      <c r="N20" s="94">
        <f t="shared" si="0"/>
        <v>5544143.23</v>
      </c>
      <c r="O20" s="94">
        <f t="shared" si="1"/>
        <v>458174</v>
      </c>
      <c r="P20" s="94">
        <f t="shared" si="1"/>
        <v>73650</v>
      </c>
      <c r="Q20" s="94">
        <v>190192.19</v>
      </c>
      <c r="R20" s="94">
        <v>348458.54</v>
      </c>
      <c r="S20" s="93"/>
      <c r="T20" s="94">
        <v>3880429.1</v>
      </c>
      <c r="U20" s="94">
        <f>101444.86+1063.33</f>
        <v>102508.19</v>
      </c>
      <c r="V20" s="126"/>
      <c r="W20" s="97">
        <f t="shared" si="4"/>
        <v>4070621.29</v>
      </c>
      <c r="X20" s="97">
        <f t="shared" si="2"/>
        <v>450966.73</v>
      </c>
      <c r="Y20" s="97">
        <f t="shared" si="2"/>
        <v>0</v>
      </c>
      <c r="Z20" s="135"/>
      <c r="AA20" s="94">
        <v>82106</v>
      </c>
      <c r="AB20" s="93"/>
      <c r="AC20" s="94">
        <f t="shared" si="5"/>
        <v>0</v>
      </c>
      <c r="AD20" s="94">
        <f t="shared" si="3"/>
        <v>82106</v>
      </c>
      <c r="AE20" s="94">
        <f t="shared" si="3"/>
        <v>0</v>
      </c>
      <c r="AF20" s="1">
        <f t="shared" si="6"/>
        <v>9614764.52</v>
      </c>
      <c r="AG20" s="1">
        <f t="shared" si="7"/>
        <v>991246.73</v>
      </c>
      <c r="AH20" s="1">
        <f t="shared" si="8"/>
        <v>73650</v>
      </c>
      <c r="AI20" s="1">
        <f t="shared" si="9"/>
        <v>10679661.25</v>
      </c>
    </row>
    <row r="21" spans="1:35" s="6" customFormat="1" ht="21">
      <c r="A21" s="12" t="s">
        <v>13</v>
      </c>
      <c r="B21" s="94">
        <v>22730701.03</v>
      </c>
      <c r="C21" s="94">
        <f>3810462.94+23983</f>
        <v>3834445.94</v>
      </c>
      <c r="D21" s="94">
        <v>22200</v>
      </c>
      <c r="E21" s="94">
        <v>12607.43</v>
      </c>
      <c r="F21" s="94">
        <v>148390</v>
      </c>
      <c r="G21" s="93"/>
      <c r="H21" s="94"/>
      <c r="I21" s="94">
        <v>136527</v>
      </c>
      <c r="J21" s="93"/>
      <c r="K21" s="94"/>
      <c r="L21" s="94">
        <f>420000</f>
        <v>420000</v>
      </c>
      <c r="M21" s="93"/>
      <c r="N21" s="94">
        <f t="shared" si="0"/>
        <v>22743308.46</v>
      </c>
      <c r="O21" s="94">
        <f t="shared" si="1"/>
        <v>4539362.9399999995</v>
      </c>
      <c r="P21" s="94">
        <f t="shared" si="1"/>
        <v>22200</v>
      </c>
      <c r="Q21" s="94">
        <v>35000.1</v>
      </c>
      <c r="R21" s="94">
        <v>1626019.63</v>
      </c>
      <c r="S21" s="93"/>
      <c r="T21" s="94">
        <f>11154332.28+728413.01</f>
        <v>11882745.29</v>
      </c>
      <c r="U21" s="94">
        <f>452711.51+18375</f>
        <v>471086.51</v>
      </c>
      <c r="V21" s="126"/>
      <c r="W21" s="97">
        <f t="shared" si="4"/>
        <v>11917745.389999999</v>
      </c>
      <c r="X21" s="97">
        <f t="shared" si="2"/>
        <v>2097106.14</v>
      </c>
      <c r="Y21" s="97">
        <f t="shared" si="2"/>
        <v>0</v>
      </c>
      <c r="Z21" s="135"/>
      <c r="AA21" s="94">
        <v>616120</v>
      </c>
      <c r="AB21" s="93"/>
      <c r="AC21" s="94">
        <f t="shared" si="5"/>
        <v>0</v>
      </c>
      <c r="AD21" s="94">
        <f t="shared" si="3"/>
        <v>616120</v>
      </c>
      <c r="AE21" s="94">
        <f t="shared" si="3"/>
        <v>0</v>
      </c>
      <c r="AF21" s="1">
        <f t="shared" si="6"/>
        <v>34661053.85</v>
      </c>
      <c r="AG21" s="1">
        <f t="shared" si="7"/>
        <v>7252589.079999999</v>
      </c>
      <c r="AH21" s="1">
        <f t="shared" si="8"/>
        <v>22200</v>
      </c>
      <c r="AI21" s="1">
        <f t="shared" si="9"/>
        <v>41935842.93</v>
      </c>
    </row>
    <row r="22" spans="1:35" s="6" customFormat="1" ht="21">
      <c r="A22" s="71" t="s">
        <v>245</v>
      </c>
      <c r="B22" s="94">
        <v>21905411.92</v>
      </c>
      <c r="C22" s="94">
        <v>1118129.04</v>
      </c>
      <c r="D22" s="94">
        <v>270905</v>
      </c>
      <c r="E22" s="94">
        <v>389046</v>
      </c>
      <c r="F22" s="94">
        <v>58450</v>
      </c>
      <c r="G22" s="94"/>
      <c r="H22" s="94">
        <v>61082</v>
      </c>
      <c r="I22" s="94">
        <v>7756</v>
      </c>
      <c r="J22" s="94"/>
      <c r="K22" s="94"/>
      <c r="L22" s="94">
        <v>1437680</v>
      </c>
      <c r="M22" s="94"/>
      <c r="N22" s="94">
        <f t="shared" si="0"/>
        <v>22355539.92</v>
      </c>
      <c r="O22" s="94">
        <f t="shared" si="1"/>
        <v>2622015.04</v>
      </c>
      <c r="P22" s="94">
        <f t="shared" si="1"/>
        <v>270905</v>
      </c>
      <c r="Q22" s="94">
        <v>1596380.23</v>
      </c>
      <c r="R22" s="94">
        <v>876543.5</v>
      </c>
      <c r="S22" s="94"/>
      <c r="T22" s="94">
        <v>4958181.35</v>
      </c>
      <c r="U22" s="94">
        <v>384707.24</v>
      </c>
      <c r="V22" s="127"/>
      <c r="W22" s="97">
        <f t="shared" si="4"/>
        <v>6554561.58</v>
      </c>
      <c r="X22" s="97">
        <f t="shared" si="2"/>
        <v>1261250.74</v>
      </c>
      <c r="Y22" s="97">
        <f t="shared" si="2"/>
        <v>0</v>
      </c>
      <c r="Z22" s="136"/>
      <c r="AA22" s="94">
        <v>185000</v>
      </c>
      <c r="AB22" s="93"/>
      <c r="AC22" s="94">
        <f t="shared" si="5"/>
        <v>0</v>
      </c>
      <c r="AD22" s="94">
        <f t="shared" si="3"/>
        <v>185000</v>
      </c>
      <c r="AE22" s="94">
        <f t="shared" si="3"/>
        <v>0</v>
      </c>
      <c r="AF22" s="1">
        <f t="shared" si="6"/>
        <v>28910101.5</v>
      </c>
      <c r="AG22" s="1">
        <f t="shared" si="7"/>
        <v>4068265.7800000003</v>
      </c>
      <c r="AH22" s="1">
        <f t="shared" si="8"/>
        <v>270905</v>
      </c>
      <c r="AI22" s="1">
        <f t="shared" si="9"/>
        <v>33249272.28</v>
      </c>
    </row>
    <row r="23" spans="1:35" s="6" customFormat="1" ht="21">
      <c r="A23" s="38" t="s">
        <v>185</v>
      </c>
      <c r="B23" s="94">
        <v>8749275.65</v>
      </c>
      <c r="C23" s="94">
        <v>1723249.81</v>
      </c>
      <c r="D23" s="94">
        <v>94980</v>
      </c>
      <c r="E23" s="94">
        <v>64800</v>
      </c>
      <c r="F23" s="94">
        <v>145264</v>
      </c>
      <c r="G23" s="94"/>
      <c r="H23" s="94"/>
      <c r="I23" s="94">
        <v>48911.99</v>
      </c>
      <c r="J23" s="94"/>
      <c r="K23" s="94"/>
      <c r="L23" s="94">
        <v>472460</v>
      </c>
      <c r="M23" s="94"/>
      <c r="N23" s="94">
        <f t="shared" si="0"/>
        <v>8814075.65</v>
      </c>
      <c r="O23" s="94">
        <f t="shared" si="1"/>
        <v>2389885.8</v>
      </c>
      <c r="P23" s="94">
        <f t="shared" si="1"/>
        <v>94980</v>
      </c>
      <c r="Q23" s="94">
        <v>27992</v>
      </c>
      <c r="R23" s="94">
        <v>523840.34</v>
      </c>
      <c r="S23" s="94"/>
      <c r="T23" s="94">
        <v>2261108.97</v>
      </c>
      <c r="U23" s="94">
        <v>27764.2</v>
      </c>
      <c r="V23" s="127"/>
      <c r="W23" s="97">
        <f t="shared" si="4"/>
        <v>2289100.97</v>
      </c>
      <c r="X23" s="97">
        <f t="shared" si="2"/>
        <v>551604.54</v>
      </c>
      <c r="Y23" s="97">
        <f t="shared" si="2"/>
        <v>0</v>
      </c>
      <c r="Z23" s="136"/>
      <c r="AA23" s="94">
        <v>140000</v>
      </c>
      <c r="AB23" s="93"/>
      <c r="AC23" s="94">
        <f t="shared" si="5"/>
        <v>0</v>
      </c>
      <c r="AD23" s="94">
        <f t="shared" si="3"/>
        <v>140000</v>
      </c>
      <c r="AE23" s="94">
        <f t="shared" si="3"/>
        <v>0</v>
      </c>
      <c r="AF23" s="1">
        <f t="shared" si="6"/>
        <v>11103176.620000001</v>
      </c>
      <c r="AG23" s="1">
        <f t="shared" si="7"/>
        <v>3081490.34</v>
      </c>
      <c r="AH23" s="1">
        <f t="shared" si="8"/>
        <v>94980</v>
      </c>
      <c r="AI23" s="1">
        <f t="shared" si="9"/>
        <v>14279646.96</v>
      </c>
    </row>
    <row r="24" spans="1:35" s="6" customFormat="1" ht="21.75" thickBot="1">
      <c r="A24" s="38" t="s">
        <v>186</v>
      </c>
      <c r="B24" s="101">
        <v>16636046.87</v>
      </c>
      <c r="C24" s="101">
        <v>1947440</v>
      </c>
      <c r="D24" s="101">
        <v>5000</v>
      </c>
      <c r="E24" s="101"/>
      <c r="F24" s="101">
        <v>304950</v>
      </c>
      <c r="G24" s="101"/>
      <c r="H24" s="101">
        <v>56574.62</v>
      </c>
      <c r="I24" s="101">
        <v>90673.76</v>
      </c>
      <c r="J24" s="101"/>
      <c r="K24" s="101"/>
      <c r="L24" s="101">
        <v>831360</v>
      </c>
      <c r="M24" s="101"/>
      <c r="N24" s="94">
        <f t="shared" si="0"/>
        <v>16692621.489999998</v>
      </c>
      <c r="O24" s="94">
        <f>+C24+F24+I24+L24</f>
        <v>3174423.76</v>
      </c>
      <c r="P24" s="94">
        <f>+D24+G24+J24+M24</f>
        <v>5000</v>
      </c>
      <c r="Q24" s="101">
        <v>407198</v>
      </c>
      <c r="R24" s="101">
        <v>1091968.04</v>
      </c>
      <c r="S24" s="101"/>
      <c r="T24" s="101">
        <v>2996118.51</v>
      </c>
      <c r="U24" s="101">
        <v>657230.75</v>
      </c>
      <c r="V24" s="129"/>
      <c r="W24" s="97">
        <f t="shared" si="4"/>
        <v>3403316.51</v>
      </c>
      <c r="X24" s="97">
        <f t="shared" si="4"/>
        <v>1749198.79</v>
      </c>
      <c r="Y24" s="97">
        <f t="shared" si="4"/>
        <v>0</v>
      </c>
      <c r="Z24" s="137"/>
      <c r="AA24" s="101">
        <v>230000</v>
      </c>
      <c r="AB24" s="100"/>
      <c r="AC24" s="94">
        <f t="shared" si="5"/>
        <v>0</v>
      </c>
      <c r="AD24" s="94">
        <f t="shared" si="5"/>
        <v>230000</v>
      </c>
      <c r="AE24" s="94">
        <f t="shared" si="5"/>
        <v>0</v>
      </c>
      <c r="AF24" s="8">
        <f t="shared" si="6"/>
        <v>20095938</v>
      </c>
      <c r="AG24" s="8">
        <f t="shared" si="7"/>
        <v>5153622.55</v>
      </c>
      <c r="AH24" s="8">
        <f t="shared" si="8"/>
        <v>5000</v>
      </c>
      <c r="AI24" s="8">
        <f t="shared" si="9"/>
        <v>25254560.55</v>
      </c>
    </row>
    <row r="25" spans="1:46" s="9" customFormat="1" ht="21.75" thickBot="1">
      <c r="A25" s="72" t="s">
        <v>14</v>
      </c>
      <c r="B25" s="103">
        <f>SUM(B8:B24)</f>
        <v>313304754.48999995</v>
      </c>
      <c r="C25" s="103">
        <f aca="true" t="shared" si="10" ref="C25:AE25">SUM(C8:C24)</f>
        <v>39339900.79</v>
      </c>
      <c r="D25" s="103">
        <f t="shared" si="10"/>
        <v>1636633.1</v>
      </c>
      <c r="E25" s="103">
        <f t="shared" si="10"/>
        <v>3031009.43</v>
      </c>
      <c r="F25" s="103">
        <f t="shared" si="10"/>
        <v>3806679</v>
      </c>
      <c r="G25" s="103">
        <f t="shared" si="10"/>
        <v>0</v>
      </c>
      <c r="H25" s="103">
        <f t="shared" si="10"/>
        <v>266859.42</v>
      </c>
      <c r="I25" s="103">
        <f t="shared" si="10"/>
        <v>885284.44</v>
      </c>
      <c r="J25" s="103">
        <f t="shared" si="10"/>
        <v>0</v>
      </c>
      <c r="K25" s="103">
        <f t="shared" si="10"/>
        <v>0</v>
      </c>
      <c r="L25" s="103">
        <f t="shared" si="10"/>
        <v>6959754</v>
      </c>
      <c r="M25" s="103">
        <f t="shared" si="10"/>
        <v>0</v>
      </c>
      <c r="N25" s="103">
        <f t="shared" si="10"/>
        <v>316602623.34</v>
      </c>
      <c r="O25" s="103">
        <f t="shared" si="10"/>
        <v>50991618.23</v>
      </c>
      <c r="P25" s="103">
        <f t="shared" si="10"/>
        <v>1636633.1</v>
      </c>
      <c r="Q25" s="103">
        <f t="shared" si="10"/>
        <v>23727038.940000005</v>
      </c>
      <c r="R25" s="103">
        <f t="shared" si="10"/>
        <v>56196425.32000002</v>
      </c>
      <c r="S25" s="103">
        <f t="shared" si="10"/>
        <v>0</v>
      </c>
      <c r="T25" s="103">
        <f t="shared" si="10"/>
        <v>173254488.67999995</v>
      </c>
      <c r="U25" s="103">
        <f t="shared" si="10"/>
        <v>23891083.68</v>
      </c>
      <c r="V25" s="103">
        <f t="shared" si="10"/>
        <v>0</v>
      </c>
      <c r="W25" s="103">
        <f t="shared" si="10"/>
        <v>196981527.61999995</v>
      </c>
      <c r="X25" s="103">
        <f t="shared" si="10"/>
        <v>80087509.00000001</v>
      </c>
      <c r="Y25" s="103">
        <f t="shared" si="10"/>
        <v>0</v>
      </c>
      <c r="Z25" s="103">
        <f t="shared" si="10"/>
        <v>52596</v>
      </c>
      <c r="AA25" s="103">
        <f t="shared" si="10"/>
        <v>6644152</v>
      </c>
      <c r="AB25" s="103">
        <f t="shared" si="10"/>
        <v>0</v>
      </c>
      <c r="AC25" s="103">
        <f t="shared" si="10"/>
        <v>52596</v>
      </c>
      <c r="AD25" s="103">
        <f t="shared" si="10"/>
        <v>6644152</v>
      </c>
      <c r="AE25" s="103">
        <f t="shared" si="10"/>
        <v>0</v>
      </c>
      <c r="AF25" s="75">
        <f t="shared" si="6"/>
        <v>513636746.9599999</v>
      </c>
      <c r="AG25" s="75">
        <f t="shared" si="7"/>
        <v>137723279.23000002</v>
      </c>
      <c r="AH25" s="75">
        <f t="shared" si="8"/>
        <v>1636633.1</v>
      </c>
      <c r="AI25" s="75">
        <f t="shared" si="9"/>
        <v>652996659.29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35" s="6" customFormat="1" ht="21">
      <c r="A26" s="29" t="s">
        <v>15</v>
      </c>
      <c r="B26" s="104"/>
      <c r="C26" s="104"/>
      <c r="D26" s="104"/>
      <c r="E26" s="104"/>
      <c r="F26" s="105"/>
      <c r="G26" s="104"/>
      <c r="H26" s="104"/>
      <c r="I26" s="104"/>
      <c r="J26" s="104"/>
      <c r="K26" s="104"/>
      <c r="L26" s="104"/>
      <c r="M26" s="104"/>
      <c r="N26" s="94">
        <f aca="true" t="shared" si="11" ref="N26:P33">+B26+E26+H26+K26</f>
        <v>0</v>
      </c>
      <c r="O26" s="94">
        <f t="shared" si="11"/>
        <v>0</v>
      </c>
      <c r="P26" s="94">
        <f t="shared" si="11"/>
        <v>0</v>
      </c>
      <c r="Q26" s="104"/>
      <c r="R26" s="104"/>
      <c r="S26" s="104"/>
      <c r="T26" s="104"/>
      <c r="U26" s="104"/>
      <c r="V26" s="130"/>
      <c r="W26" s="97">
        <f t="shared" si="4"/>
        <v>0</v>
      </c>
      <c r="X26" s="97">
        <f t="shared" si="4"/>
        <v>0</v>
      </c>
      <c r="Y26" s="97">
        <f t="shared" si="4"/>
        <v>0</v>
      </c>
      <c r="Z26" s="138"/>
      <c r="AA26" s="104"/>
      <c r="AB26" s="104"/>
      <c r="AC26" s="94">
        <f t="shared" si="5"/>
        <v>0</v>
      </c>
      <c r="AD26" s="94">
        <f t="shared" si="5"/>
        <v>0</v>
      </c>
      <c r="AE26" s="94">
        <f t="shared" si="5"/>
        <v>0</v>
      </c>
      <c r="AF26" s="10">
        <f t="shared" si="6"/>
        <v>0</v>
      </c>
      <c r="AG26" s="10">
        <f t="shared" si="7"/>
        <v>0</v>
      </c>
      <c r="AH26" s="10">
        <f t="shared" si="8"/>
        <v>0</v>
      </c>
      <c r="AI26" s="10">
        <f t="shared" si="9"/>
        <v>0</v>
      </c>
    </row>
    <row r="27" spans="1:35" s="6" customFormat="1" ht="21">
      <c r="A27" s="1" t="s">
        <v>229</v>
      </c>
      <c r="B27" s="94">
        <v>262037339.09</v>
      </c>
      <c r="C27" s="94">
        <v>11588183.85</v>
      </c>
      <c r="D27" s="94">
        <v>10301779.93</v>
      </c>
      <c r="E27" s="94">
        <v>496647.49</v>
      </c>
      <c r="F27" s="94">
        <v>11500674.67</v>
      </c>
      <c r="G27" s="94">
        <v>0</v>
      </c>
      <c r="H27" s="94">
        <v>773403.4</v>
      </c>
      <c r="I27" s="94">
        <v>24434</v>
      </c>
      <c r="J27" s="94">
        <v>0</v>
      </c>
      <c r="K27" s="94">
        <v>0</v>
      </c>
      <c r="L27" s="94">
        <v>0</v>
      </c>
      <c r="M27" s="94">
        <v>0</v>
      </c>
      <c r="N27" s="94">
        <f t="shared" si="11"/>
        <v>263307389.98000002</v>
      </c>
      <c r="O27" s="94">
        <f t="shared" si="11"/>
        <v>23113292.52</v>
      </c>
      <c r="P27" s="94">
        <f t="shared" si="11"/>
        <v>10301779.93</v>
      </c>
      <c r="Q27" s="94">
        <v>36286144.22</v>
      </c>
      <c r="R27" s="94">
        <v>30480422.889999997</v>
      </c>
      <c r="S27" s="94">
        <v>0</v>
      </c>
      <c r="T27" s="94">
        <v>17694687.24</v>
      </c>
      <c r="U27" s="94">
        <v>9141978.040000001</v>
      </c>
      <c r="V27" s="127">
        <v>0</v>
      </c>
      <c r="W27" s="97">
        <f t="shared" si="4"/>
        <v>53980831.45999999</v>
      </c>
      <c r="X27" s="97">
        <f t="shared" si="4"/>
        <v>39622400.93</v>
      </c>
      <c r="Y27" s="97">
        <f t="shared" si="4"/>
        <v>0</v>
      </c>
      <c r="Z27" s="136">
        <v>7579856.89</v>
      </c>
      <c r="AA27" s="94">
        <v>2808990</v>
      </c>
      <c r="AB27" s="94">
        <v>0</v>
      </c>
      <c r="AC27" s="94">
        <f t="shared" si="5"/>
        <v>7579856.89</v>
      </c>
      <c r="AD27" s="94">
        <f t="shared" si="5"/>
        <v>2808990</v>
      </c>
      <c r="AE27" s="94">
        <f t="shared" si="5"/>
        <v>0</v>
      </c>
      <c r="AF27" s="1">
        <f t="shared" si="6"/>
        <v>324868078.33</v>
      </c>
      <c r="AG27" s="1">
        <f t="shared" si="7"/>
        <v>65544683.45</v>
      </c>
      <c r="AH27" s="1">
        <f t="shared" si="8"/>
        <v>10301779.93</v>
      </c>
      <c r="AI27" s="1">
        <f t="shared" si="9"/>
        <v>400714541.71</v>
      </c>
    </row>
    <row r="28" spans="1:35" s="6" customFormat="1" ht="21">
      <c r="A28" s="73" t="s">
        <v>230</v>
      </c>
      <c r="B28" s="107">
        <v>80869.04000000001</v>
      </c>
      <c r="C28" s="108">
        <v>5521187.38</v>
      </c>
      <c r="D28" s="108"/>
      <c r="E28" s="108">
        <v>248475.8</v>
      </c>
      <c r="F28" s="108">
        <v>1833678.3900000001</v>
      </c>
      <c r="G28" s="108"/>
      <c r="H28" s="108"/>
      <c r="I28" s="108"/>
      <c r="J28" s="108"/>
      <c r="K28" s="108"/>
      <c r="L28" s="108"/>
      <c r="M28" s="108"/>
      <c r="N28" s="94">
        <f t="shared" si="11"/>
        <v>329344.83999999997</v>
      </c>
      <c r="O28" s="94">
        <f t="shared" si="11"/>
        <v>7354865.77</v>
      </c>
      <c r="P28" s="94">
        <f t="shared" si="11"/>
        <v>0</v>
      </c>
      <c r="Q28" s="108">
        <v>3328746.11</v>
      </c>
      <c r="R28" s="108">
        <v>7800612.819999999</v>
      </c>
      <c r="S28" s="108"/>
      <c r="T28" s="108">
        <v>0</v>
      </c>
      <c r="U28" s="108">
        <v>0</v>
      </c>
      <c r="V28" s="131"/>
      <c r="W28" s="97">
        <f t="shared" si="4"/>
        <v>3328746.11</v>
      </c>
      <c r="X28" s="97">
        <f t="shared" si="4"/>
        <v>7800612.819999999</v>
      </c>
      <c r="Y28" s="97">
        <f t="shared" si="4"/>
        <v>0</v>
      </c>
      <c r="Z28" s="139">
        <v>4494</v>
      </c>
      <c r="AA28" s="109">
        <v>4249937.35</v>
      </c>
      <c r="AB28" s="108"/>
      <c r="AC28" s="94">
        <f t="shared" si="5"/>
        <v>4494</v>
      </c>
      <c r="AD28" s="94">
        <f t="shared" si="5"/>
        <v>4249937.35</v>
      </c>
      <c r="AE28" s="94">
        <f t="shared" si="5"/>
        <v>0</v>
      </c>
      <c r="AF28" s="1">
        <f t="shared" si="6"/>
        <v>3662584.9499999997</v>
      </c>
      <c r="AG28" s="1">
        <f t="shared" si="7"/>
        <v>19405415.939999998</v>
      </c>
      <c r="AH28" s="1">
        <f t="shared" si="8"/>
        <v>0</v>
      </c>
      <c r="AI28" s="1">
        <f t="shared" si="9"/>
        <v>23068000.889999997</v>
      </c>
    </row>
    <row r="29" spans="1:35" s="6" customFormat="1" ht="21">
      <c r="A29" s="1" t="s">
        <v>16</v>
      </c>
      <c r="B29" s="97">
        <v>4893844.38</v>
      </c>
      <c r="C29" s="97">
        <v>2781346.58</v>
      </c>
      <c r="D29" s="97">
        <v>15400</v>
      </c>
      <c r="E29" s="97">
        <v>0</v>
      </c>
      <c r="F29" s="98">
        <v>0</v>
      </c>
      <c r="G29" s="97">
        <v>0</v>
      </c>
      <c r="H29" s="97">
        <v>0</v>
      </c>
      <c r="I29" s="97">
        <v>4428</v>
      </c>
      <c r="J29" s="97">
        <v>0</v>
      </c>
      <c r="K29" s="97">
        <v>0</v>
      </c>
      <c r="L29" s="97">
        <v>0</v>
      </c>
      <c r="M29" s="97">
        <v>0</v>
      </c>
      <c r="N29" s="94">
        <f t="shared" si="11"/>
        <v>4893844.38</v>
      </c>
      <c r="O29" s="94">
        <f t="shared" si="11"/>
        <v>2785774.58</v>
      </c>
      <c r="P29" s="94">
        <f t="shared" si="11"/>
        <v>15400</v>
      </c>
      <c r="Q29" s="97">
        <v>1098590.39</v>
      </c>
      <c r="R29" s="97">
        <v>4877484.25</v>
      </c>
      <c r="S29" s="97">
        <v>0</v>
      </c>
      <c r="T29" s="97">
        <v>8886165.58</v>
      </c>
      <c r="U29" s="97">
        <v>5968788.710000001</v>
      </c>
      <c r="V29" s="128">
        <v>0</v>
      </c>
      <c r="W29" s="97">
        <f t="shared" si="4"/>
        <v>9984755.97</v>
      </c>
      <c r="X29" s="97">
        <f t="shared" si="4"/>
        <v>10846272.96</v>
      </c>
      <c r="Y29" s="97">
        <f t="shared" si="4"/>
        <v>0</v>
      </c>
      <c r="Z29" s="135"/>
      <c r="AA29" s="93"/>
      <c r="AB29" s="93"/>
      <c r="AC29" s="94">
        <f t="shared" si="5"/>
        <v>0</v>
      </c>
      <c r="AD29" s="94">
        <f t="shared" si="5"/>
        <v>0</v>
      </c>
      <c r="AE29" s="94">
        <f t="shared" si="5"/>
        <v>0</v>
      </c>
      <c r="AF29" s="1">
        <f t="shared" si="6"/>
        <v>14878600.350000001</v>
      </c>
      <c r="AG29" s="1">
        <f t="shared" si="7"/>
        <v>13632047.540000001</v>
      </c>
      <c r="AH29" s="1">
        <f t="shared" si="8"/>
        <v>15400</v>
      </c>
      <c r="AI29" s="1">
        <f t="shared" si="9"/>
        <v>28526047.89</v>
      </c>
    </row>
    <row r="30" spans="1:35" s="6" customFormat="1" ht="21">
      <c r="A30" s="1" t="s">
        <v>17</v>
      </c>
      <c r="B30" s="94">
        <v>7387514.77</v>
      </c>
      <c r="C30" s="94">
        <f>1292621.3+3700</f>
        <v>1296321.3</v>
      </c>
      <c r="D30" s="94">
        <v>28025</v>
      </c>
      <c r="E30" s="93"/>
      <c r="F30" s="94">
        <v>19862.4</v>
      </c>
      <c r="G30" s="93"/>
      <c r="H30" s="94">
        <v>50589</v>
      </c>
      <c r="I30" s="94">
        <v>11880</v>
      </c>
      <c r="J30" s="93"/>
      <c r="K30" s="93"/>
      <c r="L30" s="93"/>
      <c r="M30" s="93"/>
      <c r="N30" s="94">
        <f t="shared" si="11"/>
        <v>7438103.77</v>
      </c>
      <c r="O30" s="94">
        <f t="shared" si="11"/>
        <v>1328063.7</v>
      </c>
      <c r="P30" s="94">
        <f t="shared" si="11"/>
        <v>28025</v>
      </c>
      <c r="Q30" s="94">
        <v>1739597.99</v>
      </c>
      <c r="R30" s="94">
        <v>1010584.99</v>
      </c>
      <c r="S30" s="93"/>
      <c r="T30" s="94">
        <v>13675823.02</v>
      </c>
      <c r="U30" s="94">
        <f>2078043.84+107513.33+203436.13</f>
        <v>2388993.3</v>
      </c>
      <c r="V30" s="126"/>
      <c r="W30" s="97">
        <f t="shared" si="4"/>
        <v>15415421.01</v>
      </c>
      <c r="X30" s="97">
        <f t="shared" si="4"/>
        <v>3399578.29</v>
      </c>
      <c r="Y30" s="97">
        <f t="shared" si="4"/>
        <v>0</v>
      </c>
      <c r="Z30" s="135"/>
      <c r="AA30" s="93"/>
      <c r="AB30" s="93"/>
      <c r="AC30" s="94">
        <f t="shared" si="5"/>
        <v>0</v>
      </c>
      <c r="AD30" s="94">
        <f t="shared" si="5"/>
        <v>0</v>
      </c>
      <c r="AE30" s="94">
        <f t="shared" si="5"/>
        <v>0</v>
      </c>
      <c r="AF30" s="1">
        <f t="shared" si="6"/>
        <v>22853524.78</v>
      </c>
      <c r="AG30" s="1">
        <f t="shared" si="7"/>
        <v>4727641.99</v>
      </c>
      <c r="AH30" s="1">
        <f t="shared" si="8"/>
        <v>28025</v>
      </c>
      <c r="AI30" s="1">
        <f t="shared" si="9"/>
        <v>27609191.770000003</v>
      </c>
    </row>
    <row r="31" spans="1:35" s="6" customFormat="1" ht="21">
      <c r="A31" s="1" t="s">
        <v>18</v>
      </c>
      <c r="B31" s="94">
        <v>10996625.11</v>
      </c>
      <c r="C31" s="94">
        <v>2757155.29</v>
      </c>
      <c r="D31" s="94">
        <v>27362</v>
      </c>
      <c r="E31" s="94">
        <v>20000</v>
      </c>
      <c r="F31" s="94">
        <v>35800</v>
      </c>
      <c r="G31" s="94"/>
      <c r="H31" s="94">
        <v>62537.6</v>
      </c>
      <c r="I31" s="94">
        <v>15000</v>
      </c>
      <c r="J31" s="94"/>
      <c r="K31" s="94"/>
      <c r="L31" s="94"/>
      <c r="M31" s="94"/>
      <c r="N31" s="94">
        <f t="shared" si="11"/>
        <v>11079162.709999999</v>
      </c>
      <c r="O31" s="94">
        <f t="shared" si="11"/>
        <v>2807955.29</v>
      </c>
      <c r="P31" s="94">
        <f t="shared" si="11"/>
        <v>27362</v>
      </c>
      <c r="Q31" s="94">
        <v>2893046.2</v>
      </c>
      <c r="R31" s="94">
        <v>3247427.44</v>
      </c>
      <c r="S31" s="94"/>
      <c r="T31" s="94">
        <v>44253555.37</v>
      </c>
      <c r="U31" s="94">
        <v>11028911.22</v>
      </c>
      <c r="V31" s="127"/>
      <c r="W31" s="97">
        <f t="shared" si="4"/>
        <v>47146601.57</v>
      </c>
      <c r="X31" s="97">
        <f t="shared" si="4"/>
        <v>14276338.66</v>
      </c>
      <c r="Y31" s="97">
        <f t="shared" si="4"/>
        <v>0</v>
      </c>
      <c r="Z31" s="136"/>
      <c r="AA31" s="94"/>
      <c r="AB31" s="93"/>
      <c r="AC31" s="94">
        <f t="shared" si="5"/>
        <v>0</v>
      </c>
      <c r="AD31" s="94">
        <f t="shared" si="5"/>
        <v>0</v>
      </c>
      <c r="AE31" s="94">
        <f t="shared" si="5"/>
        <v>0</v>
      </c>
      <c r="AF31" s="1">
        <f t="shared" si="6"/>
        <v>58225764.28</v>
      </c>
      <c r="AG31" s="1">
        <f t="shared" si="7"/>
        <v>17084293.95</v>
      </c>
      <c r="AH31" s="1">
        <f t="shared" si="8"/>
        <v>27362</v>
      </c>
      <c r="AI31" s="1">
        <f t="shared" si="9"/>
        <v>75337420.23</v>
      </c>
    </row>
    <row r="32" spans="1:35" s="6" customFormat="1" ht="21">
      <c r="A32" s="1" t="s">
        <v>19</v>
      </c>
      <c r="B32" s="94">
        <v>3036280.64</v>
      </c>
      <c r="C32" s="94">
        <v>324104</v>
      </c>
      <c r="D32" s="94">
        <v>3300</v>
      </c>
      <c r="E32" s="94"/>
      <c r="F32" s="94">
        <v>542667.4</v>
      </c>
      <c r="G32" s="94"/>
      <c r="H32" s="94">
        <v>43125</v>
      </c>
      <c r="I32" s="94"/>
      <c r="J32" s="94"/>
      <c r="K32" s="94"/>
      <c r="L32" s="94"/>
      <c r="M32" s="94"/>
      <c r="N32" s="94">
        <f t="shared" si="11"/>
        <v>3079405.64</v>
      </c>
      <c r="O32" s="94">
        <f t="shared" si="11"/>
        <v>866771.4</v>
      </c>
      <c r="P32" s="94">
        <f t="shared" si="11"/>
        <v>3300</v>
      </c>
      <c r="Q32" s="94">
        <v>936749</v>
      </c>
      <c r="R32" s="94">
        <v>496795.15</v>
      </c>
      <c r="S32" s="94"/>
      <c r="T32" s="94">
        <v>63430.37</v>
      </c>
      <c r="U32" s="94">
        <v>205234.05</v>
      </c>
      <c r="V32" s="127"/>
      <c r="W32" s="97">
        <f t="shared" si="4"/>
        <v>1000179.37</v>
      </c>
      <c r="X32" s="97">
        <f t="shared" si="4"/>
        <v>702029.2</v>
      </c>
      <c r="Y32" s="97">
        <f t="shared" si="4"/>
        <v>0</v>
      </c>
      <c r="Z32" s="136"/>
      <c r="AA32" s="94">
        <v>3281979.13</v>
      </c>
      <c r="AB32" s="93"/>
      <c r="AC32" s="94">
        <f t="shared" si="5"/>
        <v>0</v>
      </c>
      <c r="AD32" s="94">
        <f t="shared" si="5"/>
        <v>3281979.13</v>
      </c>
      <c r="AE32" s="94">
        <f t="shared" si="5"/>
        <v>0</v>
      </c>
      <c r="AF32" s="1">
        <f t="shared" si="6"/>
        <v>4079585.0100000002</v>
      </c>
      <c r="AG32" s="1">
        <f t="shared" si="7"/>
        <v>4850779.73</v>
      </c>
      <c r="AH32" s="1">
        <f t="shared" si="8"/>
        <v>3300</v>
      </c>
      <c r="AI32" s="1">
        <f t="shared" si="9"/>
        <v>8933664.74</v>
      </c>
    </row>
    <row r="33" spans="1:35" s="6" customFormat="1" ht="21.75" thickBot="1">
      <c r="A33" s="8" t="s">
        <v>20</v>
      </c>
      <c r="B33" s="94">
        <v>5010873.09</v>
      </c>
      <c r="C33" s="94">
        <v>268532.26</v>
      </c>
      <c r="D33" s="94"/>
      <c r="E33" s="94"/>
      <c r="F33" s="94"/>
      <c r="G33" s="94"/>
      <c r="H33" s="94"/>
      <c r="I33" s="94">
        <v>23900</v>
      </c>
      <c r="J33" s="94"/>
      <c r="K33" s="94"/>
      <c r="L33" s="94"/>
      <c r="M33" s="94"/>
      <c r="N33" s="94">
        <f t="shared" si="11"/>
        <v>5010873.09</v>
      </c>
      <c r="O33" s="94">
        <f t="shared" si="11"/>
        <v>292432.26</v>
      </c>
      <c r="P33" s="94">
        <f t="shared" si="11"/>
        <v>0</v>
      </c>
      <c r="Q33" s="94">
        <v>93000</v>
      </c>
      <c r="R33" s="94">
        <v>2071735.6</v>
      </c>
      <c r="S33" s="94"/>
      <c r="T33" s="94">
        <v>1251440.76</v>
      </c>
      <c r="U33" s="94">
        <v>82280.66</v>
      </c>
      <c r="V33" s="127"/>
      <c r="W33" s="97">
        <f t="shared" si="4"/>
        <v>1344440.76</v>
      </c>
      <c r="X33" s="97">
        <f t="shared" si="4"/>
        <v>2154016.2600000002</v>
      </c>
      <c r="Y33" s="97">
        <f t="shared" si="4"/>
        <v>0</v>
      </c>
      <c r="Z33" s="136"/>
      <c r="AA33" s="94"/>
      <c r="AB33" s="93"/>
      <c r="AC33" s="94">
        <f t="shared" si="5"/>
        <v>0</v>
      </c>
      <c r="AD33" s="94">
        <f t="shared" si="5"/>
        <v>0</v>
      </c>
      <c r="AE33" s="94">
        <f t="shared" si="5"/>
        <v>0</v>
      </c>
      <c r="AF33" s="8">
        <f t="shared" si="6"/>
        <v>6355313.85</v>
      </c>
      <c r="AG33" s="8">
        <f t="shared" si="7"/>
        <v>2446448.5200000005</v>
      </c>
      <c r="AH33" s="8">
        <f t="shared" si="8"/>
        <v>0</v>
      </c>
      <c r="AI33" s="8">
        <f t="shared" si="9"/>
        <v>8801762.370000001</v>
      </c>
    </row>
    <row r="34" spans="1:35" s="42" customFormat="1" ht="21.75" thickBot="1">
      <c r="A34" s="72" t="s">
        <v>14</v>
      </c>
      <c r="B34" s="110">
        <f aca="true" t="shared" si="12" ref="B34:AE34">SUM(B27:B33)</f>
        <v>293443346.11999995</v>
      </c>
      <c r="C34" s="110">
        <f t="shared" si="12"/>
        <v>24536830.660000004</v>
      </c>
      <c r="D34" s="110">
        <f t="shared" si="12"/>
        <v>10375866.93</v>
      </c>
      <c r="E34" s="110">
        <f t="shared" si="12"/>
        <v>765123.29</v>
      </c>
      <c r="F34" s="110">
        <f t="shared" si="12"/>
        <v>13932682.860000001</v>
      </c>
      <c r="G34" s="110">
        <f t="shared" si="12"/>
        <v>0</v>
      </c>
      <c r="H34" s="110">
        <f t="shared" si="12"/>
        <v>929655</v>
      </c>
      <c r="I34" s="110">
        <f t="shared" si="12"/>
        <v>79642</v>
      </c>
      <c r="J34" s="110">
        <f t="shared" si="12"/>
        <v>0</v>
      </c>
      <c r="K34" s="110">
        <f t="shared" si="12"/>
        <v>0</v>
      </c>
      <c r="L34" s="110">
        <f t="shared" si="12"/>
        <v>0</v>
      </c>
      <c r="M34" s="110">
        <f t="shared" si="12"/>
        <v>0</v>
      </c>
      <c r="N34" s="110">
        <f t="shared" si="12"/>
        <v>295138124.40999997</v>
      </c>
      <c r="O34" s="110">
        <f t="shared" si="12"/>
        <v>38549155.519999996</v>
      </c>
      <c r="P34" s="110">
        <f t="shared" si="12"/>
        <v>10375866.93</v>
      </c>
      <c r="Q34" s="110">
        <f t="shared" si="12"/>
        <v>46375873.910000004</v>
      </c>
      <c r="R34" s="110">
        <f t="shared" si="12"/>
        <v>49985063.13999999</v>
      </c>
      <c r="S34" s="110">
        <f t="shared" si="12"/>
        <v>0</v>
      </c>
      <c r="T34" s="110">
        <f t="shared" si="12"/>
        <v>85825102.34000002</v>
      </c>
      <c r="U34" s="110">
        <f t="shared" si="12"/>
        <v>28816185.980000004</v>
      </c>
      <c r="V34" s="110">
        <f t="shared" si="12"/>
        <v>0</v>
      </c>
      <c r="W34" s="110">
        <f t="shared" si="12"/>
        <v>132200976.25000001</v>
      </c>
      <c r="X34" s="110">
        <f t="shared" si="12"/>
        <v>78801249.12</v>
      </c>
      <c r="Y34" s="110">
        <f t="shared" si="12"/>
        <v>0</v>
      </c>
      <c r="Z34" s="110">
        <f t="shared" si="12"/>
        <v>7584350.89</v>
      </c>
      <c r="AA34" s="110">
        <f t="shared" si="12"/>
        <v>10340906.48</v>
      </c>
      <c r="AB34" s="110">
        <f t="shared" si="12"/>
        <v>0</v>
      </c>
      <c r="AC34" s="110">
        <f t="shared" si="12"/>
        <v>7584350.89</v>
      </c>
      <c r="AD34" s="110">
        <f t="shared" si="12"/>
        <v>10340906.48</v>
      </c>
      <c r="AE34" s="110">
        <f t="shared" si="12"/>
        <v>0</v>
      </c>
      <c r="AF34" s="75">
        <f t="shared" si="6"/>
        <v>434923451.54999995</v>
      </c>
      <c r="AG34" s="75">
        <f t="shared" si="7"/>
        <v>127691311.12</v>
      </c>
      <c r="AH34" s="75">
        <f t="shared" si="8"/>
        <v>10375866.93</v>
      </c>
      <c r="AI34" s="75">
        <f t="shared" si="9"/>
        <v>572990629.5999999</v>
      </c>
    </row>
    <row r="35" spans="1:36" s="42" customFormat="1" ht="22.5" thickBot="1" thickTop="1">
      <c r="A35" s="76" t="s">
        <v>3</v>
      </c>
      <c r="B35" s="111">
        <f>B34+B25</f>
        <v>606748100.6099999</v>
      </c>
      <c r="C35" s="111">
        <f aca="true" t="shared" si="13" ref="C35:AE35">C34+C25</f>
        <v>63876731.45</v>
      </c>
      <c r="D35" s="111">
        <f t="shared" si="13"/>
        <v>12012500.03</v>
      </c>
      <c r="E35" s="111">
        <f t="shared" si="13"/>
        <v>3796132.72</v>
      </c>
      <c r="F35" s="111">
        <f t="shared" si="13"/>
        <v>17739361.86</v>
      </c>
      <c r="G35" s="111">
        <f t="shared" si="13"/>
        <v>0</v>
      </c>
      <c r="H35" s="111">
        <f t="shared" si="13"/>
        <v>1196514.42</v>
      </c>
      <c r="I35" s="111">
        <f t="shared" si="13"/>
        <v>964926.44</v>
      </c>
      <c r="J35" s="111">
        <f t="shared" si="13"/>
        <v>0</v>
      </c>
      <c r="K35" s="111">
        <f t="shared" si="13"/>
        <v>0</v>
      </c>
      <c r="L35" s="111">
        <f t="shared" si="13"/>
        <v>6959754</v>
      </c>
      <c r="M35" s="111">
        <f t="shared" si="13"/>
        <v>0</v>
      </c>
      <c r="N35" s="111">
        <f t="shared" si="13"/>
        <v>611740747.75</v>
      </c>
      <c r="O35" s="111">
        <f t="shared" si="13"/>
        <v>89540773.75</v>
      </c>
      <c r="P35" s="111">
        <f t="shared" si="13"/>
        <v>12012500.03</v>
      </c>
      <c r="Q35" s="111">
        <f t="shared" si="13"/>
        <v>70102912.85000001</v>
      </c>
      <c r="R35" s="111">
        <f t="shared" si="13"/>
        <v>106181488.46000001</v>
      </c>
      <c r="S35" s="111">
        <f t="shared" si="13"/>
        <v>0</v>
      </c>
      <c r="T35" s="111">
        <f t="shared" si="13"/>
        <v>259079591.01999998</v>
      </c>
      <c r="U35" s="111">
        <f t="shared" si="13"/>
        <v>52707269.660000004</v>
      </c>
      <c r="V35" s="111">
        <f t="shared" si="13"/>
        <v>0</v>
      </c>
      <c r="W35" s="111">
        <f t="shared" si="13"/>
        <v>329182503.86999995</v>
      </c>
      <c r="X35" s="111">
        <f t="shared" si="13"/>
        <v>158888758.12</v>
      </c>
      <c r="Y35" s="111">
        <f t="shared" si="13"/>
        <v>0</v>
      </c>
      <c r="Z35" s="111">
        <f t="shared" si="13"/>
        <v>7636946.89</v>
      </c>
      <c r="AA35" s="111">
        <f t="shared" si="13"/>
        <v>16985058.48</v>
      </c>
      <c r="AB35" s="111">
        <f t="shared" si="13"/>
        <v>0</v>
      </c>
      <c r="AC35" s="111">
        <f t="shared" si="13"/>
        <v>7636946.89</v>
      </c>
      <c r="AD35" s="111">
        <f t="shared" si="13"/>
        <v>16985058.48</v>
      </c>
      <c r="AE35" s="111">
        <f t="shared" si="13"/>
        <v>0</v>
      </c>
      <c r="AF35" s="77">
        <f t="shared" si="6"/>
        <v>948560198.5099999</v>
      </c>
      <c r="AG35" s="77">
        <f t="shared" si="7"/>
        <v>265414590.35</v>
      </c>
      <c r="AH35" s="77">
        <f t="shared" si="8"/>
        <v>12012500.03</v>
      </c>
      <c r="AI35" s="77">
        <f t="shared" si="9"/>
        <v>1225987288.8899999</v>
      </c>
      <c r="AJ35" s="42">
        <f>+'จัดกลุ่มคชจ.64'!AK34</f>
        <v>1225987288.8899999</v>
      </c>
    </row>
    <row r="36" ht="21.75" thickTop="1"/>
    <row r="37" spans="2:35" ht="21">
      <c r="B37" s="2">
        <f>+'จัดกลุ่มคชจ.64'!D34</f>
        <v>606748100.6099999</v>
      </c>
      <c r="C37" s="2">
        <f>+'จัดกลุ่มคชจ.64'!E34</f>
        <v>63876731.45</v>
      </c>
      <c r="D37" s="2">
        <f>+'จัดกลุ่มคชจ.64'!F34</f>
        <v>12012500.03</v>
      </c>
      <c r="E37" s="2">
        <f>+'จัดกลุ่มคชจ.64'!G34</f>
        <v>3796132.72</v>
      </c>
      <c r="F37" s="2">
        <f>+'จัดกลุ่มคชจ.64'!H34</f>
        <v>17739361.86</v>
      </c>
      <c r="G37" s="2">
        <f>+'จัดกลุ่มคชจ.64'!I34</f>
        <v>0</v>
      </c>
      <c r="H37" s="2">
        <f>+'จัดกลุ่มคชจ.64'!J34</f>
        <v>1196514.42</v>
      </c>
      <c r="I37" s="2">
        <f>+'จัดกลุ่มคชจ.64'!K34</f>
        <v>964926.44</v>
      </c>
      <c r="J37" s="2">
        <f>+'จัดกลุ่มคชจ.64'!L34</f>
        <v>0</v>
      </c>
      <c r="K37" s="2">
        <f>+'จัดกลุ่มคชจ.64'!M34</f>
        <v>0</v>
      </c>
      <c r="L37" s="2">
        <f>+'จัดกลุ่มคชจ.64'!N34</f>
        <v>6959754</v>
      </c>
      <c r="M37" s="2">
        <f>+'จัดกลุ่มคชจ.64'!O34</f>
        <v>0</v>
      </c>
      <c r="N37" s="2">
        <f>+'จัดกลุ่มคชจ.64'!P34</f>
        <v>611740747.75</v>
      </c>
      <c r="O37" s="2">
        <f>+'จัดกลุ่มคชจ.64'!Q34</f>
        <v>89540773.75</v>
      </c>
      <c r="P37" s="2">
        <f>+'จัดกลุ่มคชจ.64'!R34</f>
        <v>12012500.03</v>
      </c>
      <c r="Q37" s="2">
        <f>+'จัดกลุ่มคชจ.64'!S34</f>
        <v>70102912.85000001</v>
      </c>
      <c r="R37" s="2">
        <f>+'จัดกลุ่มคชจ.64'!T34</f>
        <v>106181488.46000001</v>
      </c>
      <c r="S37" s="2">
        <f>+'จัดกลุ่มคชจ.64'!U34</f>
        <v>0</v>
      </c>
      <c r="T37" s="2">
        <f>+'จัดกลุ่มคชจ.64'!V34</f>
        <v>259079591.01999998</v>
      </c>
      <c r="U37" s="2">
        <f>+'จัดกลุ่มคชจ.64'!W34</f>
        <v>52707269.660000004</v>
      </c>
      <c r="V37" s="2">
        <f>+'จัดกลุ่มคชจ.64'!X34</f>
        <v>0</v>
      </c>
      <c r="W37" s="2">
        <f>+'จัดกลุ่มคชจ.64'!Y34</f>
        <v>329182503.86999995</v>
      </c>
      <c r="X37" s="2">
        <f>+'จัดกลุ่มคชจ.64'!Z34</f>
        <v>158888758.12</v>
      </c>
      <c r="Y37" s="2">
        <f>+'จัดกลุ่มคชจ.64'!AA34</f>
        <v>0</v>
      </c>
      <c r="Z37" s="2">
        <f>+'จัดกลุ่มคชจ.64'!AB34</f>
        <v>7636946.89</v>
      </c>
      <c r="AA37" s="2">
        <f>+'จัดกลุ่มคชจ.64'!AC34</f>
        <v>16985058.48</v>
      </c>
      <c r="AB37" s="2">
        <f>+'จัดกลุ่มคชจ.64'!AD34</f>
        <v>0</v>
      </c>
      <c r="AC37" s="2">
        <f>+'จัดกลุ่มคชจ.64'!AE34</f>
        <v>7636946.89</v>
      </c>
      <c r="AD37" s="2">
        <f>+'จัดกลุ่มคชจ.64'!AF34</f>
        <v>16985058.48</v>
      </c>
      <c r="AE37" s="2">
        <f>+'จัดกลุ่มคชจ.64'!AG34</f>
        <v>0</v>
      </c>
      <c r="AF37" s="2">
        <f>+'จัดกลุ่มคชจ.64'!AH34</f>
        <v>948560198.51</v>
      </c>
      <c r="AG37" s="2">
        <f>+'จัดกลุ่มคชจ.64'!AI34</f>
        <v>265414590.35000002</v>
      </c>
      <c r="AH37" s="2">
        <f>+'จัดกลุ่มคชจ.64'!AJ34</f>
        <v>12012500.03</v>
      </c>
      <c r="AI37" s="2">
        <f>+'จัดกลุ่มคชจ.64'!AK34</f>
        <v>1225987288.8899999</v>
      </c>
    </row>
    <row r="38" ht="21">
      <c r="AI38" s="2"/>
    </row>
    <row r="39" spans="2:35" ht="21">
      <c r="B39" s="2">
        <f>+B35-B37</f>
        <v>0</v>
      </c>
      <c r="C39" s="2">
        <f aca="true" t="shared" si="14" ref="C39:AI39">+C35-C37</f>
        <v>0</v>
      </c>
      <c r="D39" s="2">
        <f t="shared" si="14"/>
        <v>0</v>
      </c>
      <c r="E39" s="2">
        <f t="shared" si="14"/>
        <v>0</v>
      </c>
      <c r="F39" s="2">
        <f t="shared" si="14"/>
        <v>0</v>
      </c>
      <c r="G39" s="2">
        <f t="shared" si="14"/>
        <v>0</v>
      </c>
      <c r="H39" s="2">
        <f t="shared" si="14"/>
        <v>0</v>
      </c>
      <c r="I39" s="2">
        <f t="shared" si="14"/>
        <v>0</v>
      </c>
      <c r="J39" s="2">
        <f t="shared" si="14"/>
        <v>0</v>
      </c>
      <c r="K39" s="2">
        <f t="shared" si="14"/>
        <v>0</v>
      </c>
      <c r="L39" s="2">
        <f t="shared" si="14"/>
        <v>0</v>
      </c>
      <c r="M39" s="2">
        <f t="shared" si="14"/>
        <v>0</v>
      </c>
      <c r="N39" s="2">
        <f t="shared" si="14"/>
        <v>0</v>
      </c>
      <c r="O39" s="2">
        <f t="shared" si="14"/>
        <v>0</v>
      </c>
      <c r="P39" s="2">
        <f t="shared" si="14"/>
        <v>0</v>
      </c>
      <c r="Q39" s="2">
        <f t="shared" si="14"/>
        <v>0</v>
      </c>
      <c r="R39" s="2">
        <f t="shared" si="14"/>
        <v>0</v>
      </c>
      <c r="S39" s="2">
        <f t="shared" si="14"/>
        <v>0</v>
      </c>
      <c r="T39" s="2">
        <f t="shared" si="14"/>
        <v>0</v>
      </c>
      <c r="U39" s="2">
        <f t="shared" si="14"/>
        <v>0</v>
      </c>
      <c r="V39" s="2">
        <f t="shared" si="14"/>
        <v>0</v>
      </c>
      <c r="W39" s="2">
        <f t="shared" si="14"/>
        <v>0</v>
      </c>
      <c r="X39" s="2">
        <f t="shared" si="14"/>
        <v>0</v>
      </c>
      <c r="Y39" s="2">
        <f t="shared" si="14"/>
        <v>0</v>
      </c>
      <c r="Z39" s="2">
        <f t="shared" si="14"/>
        <v>0</v>
      </c>
      <c r="AA39" s="2">
        <f t="shared" si="14"/>
        <v>0</v>
      </c>
      <c r="AB39" s="2">
        <f t="shared" si="14"/>
        <v>0</v>
      </c>
      <c r="AC39" s="2">
        <f t="shared" si="14"/>
        <v>0</v>
      </c>
      <c r="AD39" s="2">
        <f t="shared" si="14"/>
        <v>0</v>
      </c>
      <c r="AE39" s="2">
        <f t="shared" si="14"/>
        <v>0</v>
      </c>
      <c r="AF39" s="2">
        <f t="shared" si="14"/>
        <v>0</v>
      </c>
      <c r="AG39" s="2">
        <f t="shared" si="14"/>
        <v>0</v>
      </c>
      <c r="AH39" s="2">
        <f t="shared" si="14"/>
        <v>0</v>
      </c>
      <c r="AI39" s="2">
        <f t="shared" si="14"/>
        <v>0</v>
      </c>
    </row>
  </sheetData>
  <sheetProtection/>
  <mergeCells count="17">
    <mergeCell ref="W5:Y5"/>
    <mergeCell ref="H5:J5"/>
    <mergeCell ref="Q5:S5"/>
    <mergeCell ref="T5:V5"/>
    <mergeCell ref="K5:M5"/>
    <mergeCell ref="B5:D5"/>
    <mergeCell ref="E5:G5"/>
    <mergeCell ref="Z5:AB5"/>
    <mergeCell ref="AC5:AE5"/>
    <mergeCell ref="AI5:AI6"/>
    <mergeCell ref="A1:AO1"/>
    <mergeCell ref="A2:AO2"/>
    <mergeCell ref="AF5:AH5"/>
    <mergeCell ref="A4:D4"/>
    <mergeCell ref="V4:AF4"/>
    <mergeCell ref="A5:A6"/>
    <mergeCell ref="N5:P5"/>
  </mergeCells>
  <printOptions horizontalCentered="1"/>
  <pageMargins left="0.15748031496062992" right="0.15748031496062992" top="0.5511811023622047" bottom="0.3937007874015748" header="0.31496062992125984" footer="0.31496062992125984"/>
  <pageSetup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Z22">
      <selection activeCell="E51" sqref="E51"/>
    </sheetView>
  </sheetViews>
  <sheetFormatPr defaultColWidth="13.140625" defaultRowHeight="15"/>
  <cols>
    <col min="1" max="1" width="40.00390625" style="14" bestFit="1" customWidth="1"/>
    <col min="2" max="2" width="14.421875" style="15" customWidth="1"/>
    <col min="3" max="4" width="13.421875" style="15" customWidth="1"/>
    <col min="5" max="5" width="12.28125" style="15" customWidth="1"/>
    <col min="6" max="6" width="13.421875" style="15" customWidth="1"/>
    <col min="7" max="7" width="5.421875" style="15" customWidth="1"/>
    <col min="8" max="8" width="12.28125" style="15" customWidth="1"/>
    <col min="9" max="9" width="11.00390625" style="15" customWidth="1"/>
    <col min="10" max="10" width="6.00390625" style="15" customWidth="1"/>
    <col min="11" max="11" width="12.7109375" style="15" customWidth="1"/>
    <col min="12" max="12" width="12.28125" style="15" customWidth="1"/>
    <col min="13" max="13" width="6.8515625" style="15" customWidth="1"/>
    <col min="14" max="14" width="14.421875" style="15" customWidth="1"/>
    <col min="15" max="15" width="13.421875" style="15" customWidth="1"/>
    <col min="16" max="16" width="14.421875" style="15" customWidth="1"/>
    <col min="17" max="17" width="13.421875" style="15" customWidth="1"/>
    <col min="18" max="18" width="14.421875" style="15" customWidth="1"/>
    <col min="19" max="19" width="13.421875" style="15" customWidth="1"/>
    <col min="20" max="21" width="14.421875" style="15" customWidth="1"/>
    <col min="22" max="22" width="12.28125" style="15" customWidth="1"/>
    <col min="23" max="24" width="14.421875" style="15" customWidth="1"/>
    <col min="25" max="25" width="16.421875" style="14" customWidth="1"/>
    <col min="26" max="26" width="16.28125" style="6" customWidth="1"/>
    <col min="27" max="27" width="13.421875" style="6" bestFit="1" customWidth="1"/>
    <col min="28" max="28" width="14.00390625" style="6" customWidth="1"/>
    <col min="29" max="29" width="14.421875" style="6" bestFit="1" customWidth="1"/>
    <col min="30" max="30" width="13.421875" style="6" bestFit="1" customWidth="1"/>
    <col min="31" max="31" width="15.7109375" style="6" customWidth="1"/>
    <col min="32" max="32" width="15.57421875" style="6" customWidth="1"/>
    <col min="33" max="33" width="14.7109375" style="6" customWidth="1"/>
    <col min="34" max="34" width="16.28125" style="6" customWidth="1"/>
    <col min="35" max="35" width="13.7109375" style="6" customWidth="1"/>
    <col min="36" max="16384" width="13.140625" style="6" customWidth="1"/>
  </cols>
  <sheetData>
    <row r="1" spans="1:34" ht="18.75">
      <c r="A1" s="293" t="s">
        <v>507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</row>
    <row r="2" spans="1:34" ht="18.75">
      <c r="A2" s="293" t="s">
        <v>222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34" ht="18.75">
      <c r="A3" s="294" t="s">
        <v>326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</row>
    <row r="4" spans="1:34" s="5" customFormat="1" ht="39" customHeight="1">
      <c r="A4" s="288" t="s">
        <v>2</v>
      </c>
      <c r="B4" s="288" t="s">
        <v>26</v>
      </c>
      <c r="C4" s="288"/>
      <c r="D4" s="288"/>
      <c r="E4" s="288" t="s">
        <v>27</v>
      </c>
      <c r="F4" s="288"/>
      <c r="G4" s="288"/>
      <c r="H4" s="288" t="s">
        <v>28</v>
      </c>
      <c r="I4" s="288"/>
      <c r="J4" s="288"/>
      <c r="K4" s="288" t="s">
        <v>29</v>
      </c>
      <c r="L4" s="288"/>
      <c r="M4" s="288"/>
      <c r="N4" s="37" t="s">
        <v>35</v>
      </c>
      <c r="O4" s="288" t="s">
        <v>30</v>
      </c>
      <c r="P4" s="288"/>
      <c r="Q4" s="288"/>
      <c r="R4" s="288" t="s">
        <v>31</v>
      </c>
      <c r="S4" s="288"/>
      <c r="T4" s="288"/>
      <c r="U4" s="37" t="s">
        <v>36</v>
      </c>
      <c r="V4" s="288" t="s">
        <v>32</v>
      </c>
      <c r="W4" s="288"/>
      <c r="X4" s="288"/>
      <c r="Y4" s="51" t="s">
        <v>182</v>
      </c>
      <c r="Z4" s="16" t="s">
        <v>3</v>
      </c>
      <c r="AA4" s="296" t="s">
        <v>121</v>
      </c>
      <c r="AB4" s="297"/>
      <c r="AC4" s="297"/>
      <c r="AD4" s="298"/>
      <c r="AE4" s="295" t="s">
        <v>128</v>
      </c>
      <c r="AF4" s="288"/>
      <c r="AG4" s="288"/>
      <c r="AH4" s="288" t="s">
        <v>14</v>
      </c>
    </row>
    <row r="5" spans="1:34" s="191" customFormat="1" ht="60.75" customHeight="1">
      <c r="A5" s="288"/>
      <c r="B5" s="186" t="s">
        <v>0</v>
      </c>
      <c r="C5" s="186" t="s">
        <v>1</v>
      </c>
      <c r="D5" s="186" t="s">
        <v>4</v>
      </c>
      <c r="E5" s="186" t="s">
        <v>0</v>
      </c>
      <c r="F5" s="186" t="s">
        <v>1</v>
      </c>
      <c r="G5" s="186" t="s">
        <v>4</v>
      </c>
      <c r="H5" s="186" t="s">
        <v>0</v>
      </c>
      <c r="I5" s="186" t="s">
        <v>1</v>
      </c>
      <c r="J5" s="186" t="s">
        <v>4</v>
      </c>
      <c r="K5" s="186" t="s">
        <v>0</v>
      </c>
      <c r="L5" s="186" t="s">
        <v>1</v>
      </c>
      <c r="M5" s="186" t="s">
        <v>4</v>
      </c>
      <c r="N5" s="186" t="s">
        <v>33</v>
      </c>
      <c r="O5" s="186" t="s">
        <v>0</v>
      </c>
      <c r="P5" s="186" t="s">
        <v>1</v>
      </c>
      <c r="Q5" s="186" t="s">
        <v>4</v>
      </c>
      <c r="R5" s="186" t="s">
        <v>0</v>
      </c>
      <c r="S5" s="186" t="s">
        <v>1</v>
      </c>
      <c r="T5" s="186" t="s">
        <v>4</v>
      </c>
      <c r="U5" s="186" t="s">
        <v>34</v>
      </c>
      <c r="V5" s="186" t="s">
        <v>0</v>
      </c>
      <c r="W5" s="186" t="s">
        <v>1</v>
      </c>
      <c r="X5" s="186" t="s">
        <v>4</v>
      </c>
      <c r="Y5" s="186" t="s">
        <v>183</v>
      </c>
      <c r="Z5" s="187" t="s">
        <v>184</v>
      </c>
      <c r="AA5" s="188" t="s">
        <v>325</v>
      </c>
      <c r="AB5" s="189" t="s">
        <v>131</v>
      </c>
      <c r="AC5" s="189" t="s">
        <v>130</v>
      </c>
      <c r="AD5" s="190" t="s">
        <v>127</v>
      </c>
      <c r="AE5" s="188" t="s">
        <v>122</v>
      </c>
      <c r="AF5" s="189" t="s">
        <v>129</v>
      </c>
      <c r="AG5" s="189" t="s">
        <v>123</v>
      </c>
      <c r="AH5" s="288"/>
    </row>
    <row r="6" spans="1:34" ht="19.5" customHeight="1">
      <c r="A6" s="28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46"/>
      <c r="AB6" s="153">
        <f>+N33</f>
        <v>344063146.86</v>
      </c>
      <c r="AC6" s="153">
        <f>+U33</f>
        <v>211002225.37</v>
      </c>
      <c r="AD6" s="153">
        <f>+Y33</f>
        <v>17925257.37</v>
      </c>
      <c r="AE6" s="175"/>
      <c r="AF6" s="175"/>
      <c r="AG6" s="175"/>
      <c r="AH6" s="176"/>
    </row>
    <row r="7" spans="1:35" ht="21">
      <c r="A7" s="96" t="str">
        <f>+'จัดกลุ่มคชจ.64'!C7</f>
        <v>คณะวิศวกรรมศาสตร์</v>
      </c>
      <c r="B7" s="94">
        <f>+'จัดกลุ่มคชจ.64'!D7</f>
        <v>33905361.75</v>
      </c>
      <c r="C7" s="94">
        <f>+'จัดกลุ่มคชจ.64'!E7</f>
        <v>3832028.9899999998</v>
      </c>
      <c r="D7" s="94">
        <f>+'จัดกลุ่มคชจ.64'!F7</f>
        <v>200502.59</v>
      </c>
      <c r="E7" s="94">
        <f>+'จัดกลุ่มคชจ.64'!G7</f>
        <v>0</v>
      </c>
      <c r="F7" s="94">
        <f>+'จัดกลุ่มคชจ.64'!H7</f>
        <v>516430</v>
      </c>
      <c r="G7" s="94">
        <f>+'จัดกลุ่มคชจ.64'!I7</f>
        <v>0</v>
      </c>
      <c r="H7" s="94">
        <f>+'จัดกลุ่มคชจ.64'!J7</f>
        <v>0</v>
      </c>
      <c r="I7" s="94">
        <f>+'จัดกลุ่มคชจ.64'!K7</f>
        <v>288944.86</v>
      </c>
      <c r="J7" s="94">
        <f>+'จัดกลุ่มคชจ.64'!L7</f>
        <v>0</v>
      </c>
      <c r="K7" s="94">
        <f>+'จัดกลุ่มคชจ.64'!M7</f>
        <v>0</v>
      </c>
      <c r="L7" s="94">
        <f>+'จัดกลุ่มคชจ.64'!N7</f>
        <v>0</v>
      </c>
      <c r="M7" s="94">
        <f>+'จัดกลุ่มคชจ.64'!O7</f>
        <v>0</v>
      </c>
      <c r="N7" s="94">
        <f>SUM(B7:M7)</f>
        <v>38743268.190000005</v>
      </c>
      <c r="O7" s="94">
        <f>+'จัดกลุ่มคชจ.64'!S7</f>
        <v>7052155.63</v>
      </c>
      <c r="P7" s="94">
        <f>+'จัดกลุ่มคชจ.64'!T7</f>
        <v>12946787.920000002</v>
      </c>
      <c r="Q7" s="94">
        <f>+'จัดกลุ่มคชจ.64'!U7</f>
        <v>0</v>
      </c>
      <c r="R7" s="94">
        <f>+'จัดกลุ่มคชจ.64'!V7</f>
        <v>36150863.99</v>
      </c>
      <c r="S7" s="94">
        <f>+'จัดกลุ่มคชจ.64'!W7</f>
        <v>3441464.32</v>
      </c>
      <c r="T7" s="94">
        <f>+'จัดกลุ่มคชจ.64'!X7</f>
        <v>0</v>
      </c>
      <c r="U7" s="94">
        <f>SUM(O7:T7)</f>
        <v>59591271.86000001</v>
      </c>
      <c r="V7" s="127">
        <f>+'สรุปคชจ.64'!Z8</f>
        <v>0</v>
      </c>
      <c r="W7" s="127">
        <f>+'สรุปคชจ.64'!AA8</f>
        <v>1048530</v>
      </c>
      <c r="X7" s="127">
        <f>+'สรุปคชจ.64'!AB8</f>
        <v>0</v>
      </c>
      <c r="Y7" s="97">
        <f>SUM(V7:X7)</f>
        <v>1048530</v>
      </c>
      <c r="Z7" s="136">
        <f>+N7+U7+Y7</f>
        <v>99383070.05000001</v>
      </c>
      <c r="AA7" s="147">
        <v>2517.41</v>
      </c>
      <c r="AB7" s="145">
        <f>+$AB$6*AA7/$AA$24</f>
        <v>63890487.58972149</v>
      </c>
      <c r="AC7" s="145">
        <f>$AC$6*AA7/$AA$24</f>
        <v>39181862.93544267</v>
      </c>
      <c r="AD7" s="145">
        <f>$AD$6*AA7/$AA$24</f>
        <v>3328614.0756207015</v>
      </c>
      <c r="AE7" s="177">
        <f>+N7+AB7</f>
        <v>102633755.7797215</v>
      </c>
      <c r="AF7" s="178">
        <f>+U7+AC7</f>
        <v>98773134.79544267</v>
      </c>
      <c r="AG7" s="178">
        <f>+Y7+AD7</f>
        <v>4377144.075620702</v>
      </c>
      <c r="AH7" s="178">
        <f>+AE7+AF7+AG7</f>
        <v>205784034.65078488</v>
      </c>
      <c r="AI7" s="6">
        <f>+AH7-Z7</f>
        <v>106400964.60078487</v>
      </c>
    </row>
    <row r="8" spans="1:35" ht="21">
      <c r="A8" s="96" t="str">
        <f>+'จัดกลุ่มคชจ.64'!C8</f>
        <v>คณะบริหารธุรกิจ</v>
      </c>
      <c r="B8" s="94">
        <f>+'จัดกลุ่มคชจ.64'!D8</f>
        <v>18579669.37</v>
      </c>
      <c r="C8" s="94">
        <f>+'จัดกลุ่มคชจ.64'!E8</f>
        <v>4491812.800000001</v>
      </c>
      <c r="D8" s="94">
        <f>+'จัดกลุ่มคชจ.64'!F8</f>
        <v>273362.31</v>
      </c>
      <c r="E8" s="94">
        <f>+'จัดกลุ่มคชจ.64'!G8</f>
        <v>14948</v>
      </c>
      <c r="F8" s="94">
        <f>+'จัดกลุ่มคชจ.64'!H8</f>
        <v>472790</v>
      </c>
      <c r="G8" s="94">
        <f>+'จัดกลุ่มคชจ.64'!I8</f>
        <v>0</v>
      </c>
      <c r="H8" s="94">
        <f>+'จัดกลุ่มคชจ.64'!J8</f>
        <v>0</v>
      </c>
      <c r="I8" s="94">
        <f>+'จัดกลุ่มคชจ.64'!K8</f>
        <v>0</v>
      </c>
      <c r="J8" s="94">
        <f>+'จัดกลุ่มคชจ.64'!L8</f>
        <v>0</v>
      </c>
      <c r="K8" s="94">
        <f>+'จัดกลุ่มคชจ.64'!M8</f>
        <v>0</v>
      </c>
      <c r="L8" s="94">
        <f>+'จัดกลุ่มคชจ.64'!N8</f>
        <v>0</v>
      </c>
      <c r="M8" s="94">
        <f>+'จัดกลุ่มคชจ.64'!O8</f>
        <v>0</v>
      </c>
      <c r="N8" s="94">
        <f aca="true" t="shared" si="0" ref="N8:N34">SUM(B8:M8)</f>
        <v>23832582.48</v>
      </c>
      <c r="O8" s="94">
        <f>+'จัดกลุ่มคชจ.64'!S8</f>
        <v>3581785</v>
      </c>
      <c r="P8" s="94">
        <f>+'จัดกลุ่มคชจ.64'!T8</f>
        <v>13470433.73</v>
      </c>
      <c r="Q8" s="94">
        <f>+'จัดกลุ่มคชจ.64'!U8</f>
        <v>0</v>
      </c>
      <c r="R8" s="94">
        <f>+'จัดกลุ่มคชจ.64'!V8</f>
        <v>22534471.75</v>
      </c>
      <c r="S8" s="94">
        <f>+'จัดกลุ่มคชจ.64'!W8</f>
        <v>2106857.15</v>
      </c>
      <c r="T8" s="94">
        <f>+'จัดกลุ่มคชจ.64'!X8</f>
        <v>0</v>
      </c>
      <c r="U8" s="94">
        <f aca="true" t="shared" si="1" ref="U8:U34">SUM(O8:T8)</f>
        <v>41693547.63</v>
      </c>
      <c r="V8" s="127">
        <f>+'สรุปคชจ.64'!Z9</f>
        <v>0</v>
      </c>
      <c r="W8" s="127">
        <f>+'สรุปคชจ.64'!AA9</f>
        <v>1115000</v>
      </c>
      <c r="X8" s="127">
        <f>+'สรุปคชจ.64'!AB9</f>
        <v>0</v>
      </c>
      <c r="Y8" s="97">
        <f aca="true" t="shared" si="2" ref="Y8:Y34">SUM(V8:X8)</f>
        <v>1115000</v>
      </c>
      <c r="Z8" s="136">
        <f aca="true" t="shared" si="3" ref="Z8:Z34">+N8+U8+Y8</f>
        <v>66641130.11</v>
      </c>
      <c r="AA8" s="147">
        <v>3432.2</v>
      </c>
      <c r="AB8" s="145">
        <f aca="true" t="shared" si="4" ref="AB8:AB23">+$AB$6*AA8/$AA$24</f>
        <v>87107356.96824995</v>
      </c>
      <c r="AC8" s="145">
        <f aca="true" t="shared" si="5" ref="AC8:AC23">$AC$6*AA8/$AA$24</f>
        <v>53419979.25130444</v>
      </c>
      <c r="AD8" s="145">
        <f aca="true" t="shared" si="6" ref="AD8:AD23">$AD$6*AA8/$AA$24</f>
        <v>4538183.780292194</v>
      </c>
      <c r="AE8" s="177">
        <f>+N8+AB8</f>
        <v>110939939.44824995</v>
      </c>
      <c r="AF8" s="178">
        <f aca="true" t="shared" si="7" ref="AF8:AF23">+U8+AC8</f>
        <v>95113526.88130444</v>
      </c>
      <c r="AG8" s="178">
        <f>+Y8+AD8</f>
        <v>5653183.780292194</v>
      </c>
      <c r="AH8" s="178">
        <f aca="true" t="shared" si="8" ref="AH8:AH21">+AE8+AF8+AG8</f>
        <v>211706650.10984656</v>
      </c>
      <c r="AI8" s="6">
        <f aca="true" t="shared" si="9" ref="AI8:AI23">+AH8-Z8</f>
        <v>145065519.99984658</v>
      </c>
    </row>
    <row r="9" spans="1:35" ht="21">
      <c r="A9" s="96" t="str">
        <f>+'จัดกลุ่มคชจ.64'!C9</f>
        <v>คณะศิลปศาสตร์</v>
      </c>
      <c r="B9" s="94">
        <f>+'จัดกลุ่มคชจ.64'!D9</f>
        <v>32866729.48</v>
      </c>
      <c r="C9" s="94">
        <f>+'จัดกลุ่มคชจ.64'!E9</f>
        <v>4263557.21</v>
      </c>
      <c r="D9" s="94">
        <f>+'จัดกลุ่มคชจ.64'!F9</f>
        <v>132845.38</v>
      </c>
      <c r="E9" s="94">
        <f>+'จัดกลุ่มคชจ.64'!G9</f>
        <v>65914</v>
      </c>
      <c r="F9" s="94">
        <f>+'จัดกลุ่มคชจ.64'!H9</f>
        <v>1124370</v>
      </c>
      <c r="G9" s="94">
        <f>+'จัดกลุ่มคชจ.64'!I9</f>
        <v>0</v>
      </c>
      <c r="H9" s="94">
        <f>+'จัดกลุ่มคชจ.64'!J9</f>
        <v>4590</v>
      </c>
      <c r="I9" s="94">
        <f>+'จัดกลุ่มคชจ.64'!K9</f>
        <v>720</v>
      </c>
      <c r="J9" s="94">
        <f>+'จัดกลุ่มคชจ.64'!L9</f>
        <v>0</v>
      </c>
      <c r="K9" s="94">
        <f>+'จัดกลุ่มคชจ.64'!M9</f>
        <v>0</v>
      </c>
      <c r="L9" s="94">
        <f>+'จัดกลุ่มคชจ.64'!N9</f>
        <v>0</v>
      </c>
      <c r="M9" s="94">
        <f>+'จัดกลุ่มคชจ.64'!O9</f>
        <v>0</v>
      </c>
      <c r="N9" s="94">
        <f t="shared" si="0"/>
        <v>38458726.07</v>
      </c>
      <c r="O9" s="94">
        <f>+'จัดกลุ่มคชจ.64'!S9</f>
        <v>5229056.36</v>
      </c>
      <c r="P9" s="94">
        <f>+'จัดกลุ่มคชจ.64'!T9</f>
        <v>8038402.41</v>
      </c>
      <c r="Q9" s="94">
        <f>+'จัดกลุ่มคชจ.64'!U9</f>
        <v>0</v>
      </c>
      <c r="R9" s="94">
        <f>+'จัดกลุ่มคชจ.64'!V9</f>
        <v>13370281.56</v>
      </c>
      <c r="S9" s="94">
        <f>+'จัดกลุ่มคชจ.64'!W9</f>
        <v>4086279.14</v>
      </c>
      <c r="T9" s="94">
        <f>+'จัดกลุ่มคชจ.64'!X9</f>
        <v>0</v>
      </c>
      <c r="U9" s="94">
        <f t="shared" si="1"/>
        <v>30724019.47</v>
      </c>
      <c r="V9" s="127">
        <f>+'สรุปคชจ.64'!Z10</f>
        <v>0</v>
      </c>
      <c r="W9" s="127">
        <f>+'สรุปคชจ.64'!AA10</f>
        <v>1828370</v>
      </c>
      <c r="X9" s="127">
        <f>+'สรุปคชจ.64'!AB10</f>
        <v>0</v>
      </c>
      <c r="Y9" s="97">
        <f t="shared" si="2"/>
        <v>1828370</v>
      </c>
      <c r="Z9" s="136">
        <f t="shared" si="3"/>
        <v>71011115.53999999</v>
      </c>
      <c r="AA9" s="147">
        <v>1667.94</v>
      </c>
      <c r="AB9" s="145">
        <f t="shared" si="4"/>
        <v>42331404.05035337</v>
      </c>
      <c r="AC9" s="145">
        <f t="shared" si="5"/>
        <v>25960410.288567316</v>
      </c>
      <c r="AD9" s="145">
        <f t="shared" si="6"/>
        <v>2205412.9288796</v>
      </c>
      <c r="AE9" s="177">
        <f>+N9+AB9</f>
        <v>80790130.12035337</v>
      </c>
      <c r="AF9" s="178">
        <f t="shared" si="7"/>
        <v>56684429.75856732</v>
      </c>
      <c r="AG9" s="178">
        <f aca="true" t="shared" si="10" ref="AG9:AG21">+Y9+AD9</f>
        <v>4033782.9288796</v>
      </c>
      <c r="AH9" s="178">
        <f t="shared" si="8"/>
        <v>141508342.80780026</v>
      </c>
      <c r="AI9" s="6">
        <f t="shared" si="9"/>
        <v>70497227.26780027</v>
      </c>
    </row>
    <row r="10" spans="1:35" ht="21">
      <c r="A10" s="96" t="str">
        <f>+'จัดกลุ่มคชจ.64'!C10</f>
        <v>คณะสถาปัตยกรรมศาสตร์</v>
      </c>
      <c r="B10" s="94">
        <f>+'จัดกลุ่มคชจ.64'!D10</f>
        <v>18125144.16</v>
      </c>
      <c r="C10" s="94">
        <f>+'จัดกลุ่มคชจ.64'!E10</f>
        <v>1705273.25</v>
      </c>
      <c r="D10" s="94">
        <f>+'จัดกลุ่มคชจ.64'!F10</f>
        <v>43050.46</v>
      </c>
      <c r="E10" s="94">
        <f>+'จัดกลุ่มคชจ.64'!G10</f>
        <v>0</v>
      </c>
      <c r="F10" s="94">
        <f>+'จัดกลุ่มคชจ.64'!H10</f>
        <v>276638</v>
      </c>
      <c r="G10" s="94">
        <f>+'จัดกลุ่มคชจ.64'!I10</f>
        <v>0</v>
      </c>
      <c r="H10" s="94">
        <f>+'จัดกลุ่มคชจ.64'!J10</f>
        <v>0</v>
      </c>
      <c r="I10" s="94">
        <f>+'จัดกลุ่มคชจ.64'!K10</f>
        <v>6419</v>
      </c>
      <c r="J10" s="94">
        <f>+'จัดกลุ่มคชจ.64'!L10</f>
        <v>0</v>
      </c>
      <c r="K10" s="94">
        <f>+'จัดกลุ่มคชจ.64'!M10</f>
        <v>0</v>
      </c>
      <c r="L10" s="94">
        <f>+'จัดกลุ่มคชจ.64'!N10</f>
        <v>0</v>
      </c>
      <c r="M10" s="94">
        <f>+'จัดกลุ่มคชจ.64'!O10</f>
        <v>0</v>
      </c>
      <c r="N10" s="94">
        <f t="shared" si="0"/>
        <v>20156524.87</v>
      </c>
      <c r="O10" s="94">
        <f>+'จัดกลุ่มคชจ.64'!S10</f>
        <v>34430</v>
      </c>
      <c r="P10" s="94">
        <f>+'จัดกลุ่มคชจ.64'!T10</f>
        <v>1189285.79</v>
      </c>
      <c r="Q10" s="94">
        <f>+'จัดกลุ่มคชจ.64'!U10</f>
        <v>0</v>
      </c>
      <c r="R10" s="94">
        <f>+'จัดกลุ่มคชจ.64'!V10</f>
        <v>4401113.72</v>
      </c>
      <c r="S10" s="94">
        <f>+'จัดกลุ่มคชจ.64'!W10</f>
        <v>351665.28</v>
      </c>
      <c r="T10" s="94">
        <f>+'จัดกลุ่มคชจ.64'!X10</f>
        <v>0</v>
      </c>
      <c r="U10" s="94">
        <f t="shared" si="1"/>
        <v>5976494.79</v>
      </c>
      <c r="V10" s="127">
        <f>+'สรุปคชจ.64'!Z11</f>
        <v>0</v>
      </c>
      <c r="W10" s="127">
        <f>+'สรุปคชจ.64'!AA11</f>
        <v>225000</v>
      </c>
      <c r="X10" s="127">
        <f>+'สรุปคชจ.64'!AB11</f>
        <v>0</v>
      </c>
      <c r="Y10" s="97">
        <f t="shared" si="2"/>
        <v>225000</v>
      </c>
      <c r="Z10" s="136">
        <f t="shared" si="3"/>
        <v>26358019.66</v>
      </c>
      <c r="AA10" s="147">
        <v>540.52</v>
      </c>
      <c r="AB10" s="145">
        <f t="shared" si="4"/>
        <v>13718101.68069415</v>
      </c>
      <c r="AC10" s="145">
        <f t="shared" si="5"/>
        <v>8412845.167797646</v>
      </c>
      <c r="AD10" s="145">
        <f t="shared" si="6"/>
        <v>714695.8501612776</v>
      </c>
      <c r="AE10" s="177">
        <f aca="true" t="shared" si="11" ref="AE10:AE18">+N10+AB10</f>
        <v>33874626.55069415</v>
      </c>
      <c r="AF10" s="178">
        <f t="shared" si="7"/>
        <v>14389339.957797647</v>
      </c>
      <c r="AG10" s="178">
        <f t="shared" si="10"/>
        <v>939695.8501612776</v>
      </c>
      <c r="AH10" s="178">
        <f t="shared" si="8"/>
        <v>49203662.358653076</v>
      </c>
      <c r="AI10" s="6">
        <f t="shared" si="9"/>
        <v>22845642.698653076</v>
      </c>
    </row>
    <row r="11" spans="1:35" ht="21">
      <c r="A11" s="96" t="str">
        <f>+'จัดกลุ่มคชจ.64'!C11</f>
        <v>คณะครุศาสตร์อุตสาหกรรมและเทคโนโลยี</v>
      </c>
      <c r="B11" s="94">
        <f>+'จัดกลุ่มคชจ.64'!D11</f>
        <v>17898134.57</v>
      </c>
      <c r="C11" s="94">
        <f>+'จัดกลุ่มคชจ.64'!E11</f>
        <v>2577608.7399999998</v>
      </c>
      <c r="D11" s="94">
        <f>+'จัดกลุ่มคชจ.64'!F11</f>
        <v>68633.68</v>
      </c>
      <c r="E11" s="94">
        <f>+'จัดกลุ่มคชจ.64'!G11</f>
        <v>0</v>
      </c>
      <c r="F11" s="94">
        <f>+'จัดกลุ่มคชจ.64'!H11</f>
        <v>630919</v>
      </c>
      <c r="G11" s="94">
        <f>+'จัดกลุ่มคชจ.64'!I11</f>
        <v>0</v>
      </c>
      <c r="H11" s="94">
        <f>+'จัดกลุ่มคชจ.64'!J11</f>
        <v>0</v>
      </c>
      <c r="I11" s="94">
        <f>+'จัดกลุ่มคชจ.64'!K11</f>
        <v>23676</v>
      </c>
      <c r="J11" s="94">
        <f>+'จัดกลุ่มคชจ.64'!L11</f>
        <v>0</v>
      </c>
      <c r="K11" s="94">
        <f>+'จัดกลุ่มคชจ.64'!M11</f>
        <v>0</v>
      </c>
      <c r="L11" s="94">
        <f>+'จัดกลุ่มคชจ.64'!N11</f>
        <v>0</v>
      </c>
      <c r="M11" s="94">
        <f>+'จัดกลุ่มคชจ.64'!O11</f>
        <v>0</v>
      </c>
      <c r="N11" s="94">
        <f t="shared" si="0"/>
        <v>21198971.99</v>
      </c>
      <c r="O11" s="94">
        <f>+'จัดกลุ่มคชจ.64'!S11</f>
        <v>5446</v>
      </c>
      <c r="P11" s="94">
        <f>+'จัดกลุ่มคชจ.64'!T11</f>
        <v>4573032.2</v>
      </c>
      <c r="Q11" s="94">
        <f>+'จัดกลุ่มคชจ.64'!U11</f>
        <v>0</v>
      </c>
      <c r="R11" s="94">
        <f>+'จัดกลุ่มคชจ.64'!V11</f>
        <v>11211794.42</v>
      </c>
      <c r="S11" s="94">
        <f>+'จัดกลุ่มคชจ.64'!W11</f>
        <v>2622786.35</v>
      </c>
      <c r="T11" s="94">
        <f>+'จัดกลุ่มคชจ.64'!X11</f>
        <v>0</v>
      </c>
      <c r="U11" s="94">
        <f t="shared" si="1"/>
        <v>18413058.970000003</v>
      </c>
      <c r="V11" s="127">
        <f>+'สรุปคชจ.64'!Z12</f>
        <v>0</v>
      </c>
      <c r="W11" s="127">
        <f>+'สรุปคชจ.64'!AA12</f>
        <v>832130</v>
      </c>
      <c r="X11" s="127">
        <f>+'สรุปคชจ.64'!AB12</f>
        <v>0</v>
      </c>
      <c r="Y11" s="97">
        <f t="shared" si="2"/>
        <v>832130</v>
      </c>
      <c r="Z11" s="136">
        <f t="shared" si="3"/>
        <v>40444160.96</v>
      </c>
      <c r="AA11" s="147">
        <v>861.73</v>
      </c>
      <c r="AB11" s="145">
        <f t="shared" si="4"/>
        <v>21870235.6273673</v>
      </c>
      <c r="AC11" s="145">
        <f t="shared" si="5"/>
        <v>13412271.639247883</v>
      </c>
      <c r="AD11" s="145">
        <f t="shared" si="6"/>
        <v>1139411.7793226482</v>
      </c>
      <c r="AE11" s="177">
        <f>+N11+AB11</f>
        <v>43069207.6173673</v>
      </c>
      <c r="AF11" s="178">
        <f t="shared" si="7"/>
        <v>31825330.609247886</v>
      </c>
      <c r="AG11" s="178">
        <f t="shared" si="10"/>
        <v>1971541.7793226482</v>
      </c>
      <c r="AH11" s="178">
        <f t="shared" si="8"/>
        <v>76866080.00593784</v>
      </c>
      <c r="AI11" s="6">
        <f t="shared" si="9"/>
        <v>36421919.04593784</v>
      </c>
    </row>
    <row r="12" spans="1:35" ht="21">
      <c r="A12" s="96" t="str">
        <f>+'จัดกลุ่มคชจ.64'!C12</f>
        <v>วิทยาลัยรัตภูมิ</v>
      </c>
      <c r="B12" s="94">
        <f>+'จัดกลุ่มคชจ.64'!D12</f>
        <v>16030156.52</v>
      </c>
      <c r="C12" s="94">
        <f>+'จัดกลุ่มคชจ.64'!E12</f>
        <v>2058569.7</v>
      </c>
      <c r="D12" s="94">
        <f>+'จัดกลุ่มคชจ.64'!F12</f>
        <v>23225.68</v>
      </c>
      <c r="E12" s="94">
        <f>+'จัดกลุ่มคชจ.64'!G12</f>
        <v>0</v>
      </c>
      <c r="F12" s="94">
        <f>+'จัดกลุ่มคชจ.64'!H12</f>
        <v>64800</v>
      </c>
      <c r="G12" s="94">
        <f>+'จัดกลุ่มคชจ.64'!I12</f>
        <v>0</v>
      </c>
      <c r="H12" s="94">
        <f>+'จัดกลุ่มคชจ.64'!J12</f>
        <v>480</v>
      </c>
      <c r="I12" s="94">
        <f>+'จัดกลุ่มคชจ.64'!K12</f>
        <v>0</v>
      </c>
      <c r="J12" s="94">
        <f>+'จัดกลุ่มคชจ.64'!L12</f>
        <v>0</v>
      </c>
      <c r="K12" s="94">
        <f>+'จัดกลุ่มคชจ.64'!M12</f>
        <v>0</v>
      </c>
      <c r="L12" s="94">
        <f>+'จัดกลุ่มคชจ.64'!N12</f>
        <v>0</v>
      </c>
      <c r="M12" s="94">
        <f>+'จัดกลุ่มคชจ.64'!O12</f>
        <v>0</v>
      </c>
      <c r="N12" s="94">
        <f t="shared" si="0"/>
        <v>18177231.9</v>
      </c>
      <c r="O12" s="94">
        <f>+'จัดกลุ่มคชจ.64'!S12</f>
        <v>18182</v>
      </c>
      <c r="P12" s="94">
        <f>+'จัดกลุ่มคชจ.64'!T12</f>
        <v>2023357.56</v>
      </c>
      <c r="Q12" s="94">
        <f>+'จัดกลุ่มคชจ.64'!U12</f>
        <v>0</v>
      </c>
      <c r="R12" s="94">
        <f>+'จัดกลุ่มคชจ.64'!V12</f>
        <v>7872523.27</v>
      </c>
      <c r="S12" s="94">
        <f>+'จัดกลุ่มคชจ.64'!W12</f>
        <v>1359929.11</v>
      </c>
      <c r="T12" s="94">
        <f>+'จัดกลุ่มคชจ.64'!X12</f>
        <v>0</v>
      </c>
      <c r="U12" s="94">
        <f t="shared" si="1"/>
        <v>11273991.94</v>
      </c>
      <c r="V12" s="127">
        <f>+'สรุปคชจ.64'!Z13</f>
        <v>0</v>
      </c>
      <c r="W12" s="127">
        <f>+'สรุปคชจ.64'!AA13</f>
        <v>115000</v>
      </c>
      <c r="X12" s="127">
        <f>+'สรุปคชจ.64'!AB13</f>
        <v>0</v>
      </c>
      <c r="Y12" s="97">
        <f t="shared" si="2"/>
        <v>115000</v>
      </c>
      <c r="Z12" s="136">
        <f t="shared" si="3"/>
        <v>29566223.839999996</v>
      </c>
      <c r="AA12" s="147">
        <v>291.61</v>
      </c>
      <c r="AB12" s="145">
        <f t="shared" si="4"/>
        <v>7400902.151830128</v>
      </c>
      <c r="AC12" s="145">
        <f t="shared" si="5"/>
        <v>4538721.563275127</v>
      </c>
      <c r="AD12" s="145">
        <f t="shared" si="6"/>
        <v>385577.6971537227</v>
      </c>
      <c r="AE12" s="177">
        <f t="shared" si="11"/>
        <v>25578134.051830128</v>
      </c>
      <c r="AF12" s="178">
        <f t="shared" si="7"/>
        <v>15812713.503275126</v>
      </c>
      <c r="AG12" s="178">
        <f t="shared" si="10"/>
        <v>500577.6971537227</v>
      </c>
      <c r="AH12" s="178">
        <f t="shared" si="8"/>
        <v>41891425.25225898</v>
      </c>
      <c r="AI12" s="6">
        <f t="shared" si="9"/>
        <v>12325201.412258983</v>
      </c>
    </row>
    <row r="13" spans="1:35" ht="21">
      <c r="A13" s="96" t="str">
        <f>+'จัดกลุ่มคชจ.64'!C13</f>
        <v>วิทยาลัยเทคโนโลยีอุตสาหกรมและการจัดการ</v>
      </c>
      <c r="B13" s="94">
        <f>+'จัดกลุ่มคชจ.64'!D13</f>
        <v>27530610.83</v>
      </c>
      <c r="C13" s="94">
        <f>+'จัดกลุ่มคชจ.64'!E13</f>
        <v>1699976.01</v>
      </c>
      <c r="D13" s="94">
        <f>+'จัดกลุ่มคชจ.64'!F13</f>
        <v>101017</v>
      </c>
      <c r="E13" s="94">
        <f>+'จัดกลุ่มคชจ.64'!G13</f>
        <v>0</v>
      </c>
      <c r="F13" s="94">
        <f>+'จัดกลุ่มคชจ.64'!H13</f>
        <v>49518</v>
      </c>
      <c r="G13" s="94">
        <f>+'จัดกลุ่มคชจ.64'!I13</f>
        <v>0</v>
      </c>
      <c r="H13" s="94">
        <f>+'จัดกลุ่มคชจ.64'!J13</f>
        <v>111672</v>
      </c>
      <c r="I13" s="94">
        <f>+'จัดกลุ่มคชจ.64'!K13</f>
        <v>25392</v>
      </c>
      <c r="J13" s="94">
        <f>+'จัดกลุ่มคชจ.64'!L13</f>
        <v>0</v>
      </c>
      <c r="K13" s="94">
        <f>+'จัดกลุ่มคชจ.64'!M13</f>
        <v>0</v>
      </c>
      <c r="L13" s="94">
        <f>+'จัดกลุ่มคชจ.64'!N13</f>
        <v>0</v>
      </c>
      <c r="M13" s="94">
        <f>+'จัดกลุ่มคชจ.64'!O13</f>
        <v>0</v>
      </c>
      <c r="N13" s="94">
        <f t="shared" si="0"/>
        <v>29518185.84</v>
      </c>
      <c r="O13" s="94">
        <f>+'จัดกลุ่มคชจ.64'!S13</f>
        <v>1730176.55</v>
      </c>
      <c r="P13" s="94">
        <f>+'จัดกลุ่มคชจ.64'!T13</f>
        <v>2413054.92</v>
      </c>
      <c r="Q13" s="94">
        <f>+'จัดกลุ่มคชจ.64'!U13</f>
        <v>0</v>
      </c>
      <c r="R13" s="94">
        <f>+'จัดกลุ่มคชจ.64'!V13</f>
        <v>18181976.44</v>
      </c>
      <c r="S13" s="94">
        <f>+'จัดกลุ่มคชจ.64'!W13</f>
        <v>1501263.32</v>
      </c>
      <c r="T13" s="94">
        <f>+'จัดกลุ่มคชจ.64'!X13</f>
        <v>0</v>
      </c>
      <c r="U13" s="94">
        <f t="shared" si="1"/>
        <v>23826471.23</v>
      </c>
      <c r="V13" s="127">
        <f>+'สรุปคชจ.64'!Z14</f>
        <v>52596</v>
      </c>
      <c r="W13" s="127">
        <f>+'สรุปคชจ.64'!AA14</f>
        <v>0</v>
      </c>
      <c r="X13" s="127">
        <f>+'สรุปคชจ.64'!AB14</f>
        <v>0</v>
      </c>
      <c r="Y13" s="97">
        <f t="shared" si="2"/>
        <v>52596</v>
      </c>
      <c r="Z13" s="136">
        <f t="shared" si="3"/>
        <v>53397253.07</v>
      </c>
      <c r="AA13" s="147">
        <v>394.64</v>
      </c>
      <c r="AB13" s="145">
        <f t="shared" si="4"/>
        <v>10015747.145839449</v>
      </c>
      <c r="AC13" s="145">
        <f t="shared" si="5"/>
        <v>6142317.059534639</v>
      </c>
      <c r="AD13" s="145">
        <f t="shared" si="6"/>
        <v>521807.83376682934</v>
      </c>
      <c r="AE13" s="177">
        <f t="shared" si="11"/>
        <v>39533932.98583945</v>
      </c>
      <c r="AF13" s="178">
        <f t="shared" si="7"/>
        <v>29968788.28953464</v>
      </c>
      <c r="AG13" s="178">
        <f t="shared" si="10"/>
        <v>574403.8337668293</v>
      </c>
      <c r="AH13" s="178">
        <f t="shared" si="8"/>
        <v>70077125.10914092</v>
      </c>
      <c r="AI13" s="6">
        <f t="shared" si="9"/>
        <v>16679872.039140917</v>
      </c>
    </row>
    <row r="14" spans="1:35" ht="21">
      <c r="A14" s="96" t="str">
        <f>+'จัดกลุ่มคชจ.64'!C14</f>
        <v>คณะวิทยาศาสตร์และเทคโนโลยี</v>
      </c>
      <c r="B14" s="94">
        <f>+'จัดกลุ่มคชจ.64'!D14</f>
        <v>34567487</v>
      </c>
      <c r="C14" s="94">
        <f>+'จัดกลุ่มคชจ.64'!E14</f>
        <v>2607599.91</v>
      </c>
      <c r="D14" s="94">
        <f>+'จัดกลุ่มคชจ.64'!F14</f>
        <v>125825.5</v>
      </c>
      <c r="E14" s="94">
        <f>+'จัดกลุ่มคชจ.64'!G14</f>
        <v>1322572</v>
      </c>
      <c r="F14" s="94">
        <f>+'จัดกลุ่มคชจ.64'!H14</f>
        <v>0</v>
      </c>
      <c r="G14" s="94">
        <f>+'จัดกลุ่มคชจ.64'!I14</f>
        <v>0</v>
      </c>
      <c r="H14" s="94">
        <f>+'จัดกลุ่มคชจ.64'!J14</f>
        <v>12460.8</v>
      </c>
      <c r="I14" s="94">
        <f>+'จัดกลุ่มคชจ.64'!K14</f>
        <v>242733.83</v>
      </c>
      <c r="J14" s="94">
        <f>+'จัดกลุ่มคชจ.64'!L14</f>
        <v>0</v>
      </c>
      <c r="K14" s="94">
        <f>+'จัดกลุ่มคชจ.64'!M14</f>
        <v>0</v>
      </c>
      <c r="L14" s="94">
        <f>+'จัดกลุ่มคชจ.64'!N14</f>
        <v>2268269</v>
      </c>
      <c r="M14" s="94">
        <f>+'จัดกลุ่มคชจ.64'!O14</f>
        <v>0</v>
      </c>
      <c r="N14" s="94">
        <f t="shared" si="0"/>
        <v>41146948.03999999</v>
      </c>
      <c r="O14" s="94">
        <f>+'จัดกลุ่มคชจ.64'!S14</f>
        <v>2056786.12</v>
      </c>
      <c r="P14" s="94">
        <f>+'จัดกลุ่มคชจ.64'!T14</f>
        <v>1525259.3900000006</v>
      </c>
      <c r="Q14" s="94">
        <f>+'จัดกลุ่มคชจ.64'!U14</f>
        <v>0</v>
      </c>
      <c r="R14" s="94">
        <f>+'จัดกลุ่มคชจ.64'!V14</f>
        <v>11544268.42</v>
      </c>
      <c r="S14" s="94">
        <f>+'จัดกลุ่มคชจ.64'!W14</f>
        <v>2112288.02</v>
      </c>
      <c r="T14" s="94">
        <f>+'จัดกลุ่มคชจ.64'!X14</f>
        <v>0</v>
      </c>
      <c r="U14" s="94">
        <f t="shared" si="1"/>
        <v>17238601.95</v>
      </c>
      <c r="V14" s="127">
        <f>+'สรุปคชจ.64'!Z15</f>
        <v>0</v>
      </c>
      <c r="W14" s="127">
        <f>+'สรุปคชจ.64'!AA15</f>
        <v>0</v>
      </c>
      <c r="X14" s="127">
        <f>+'สรุปคชจ.64'!AB15</f>
        <v>0</v>
      </c>
      <c r="Y14" s="97">
        <f t="shared" si="2"/>
        <v>0</v>
      </c>
      <c r="Z14" s="136">
        <f t="shared" si="3"/>
        <v>58385549.989999995</v>
      </c>
      <c r="AA14" s="148">
        <v>535.56</v>
      </c>
      <c r="AB14" s="145">
        <f t="shared" si="4"/>
        <v>13592219.596152887</v>
      </c>
      <c r="AC14" s="145">
        <f t="shared" si="5"/>
        <v>8335645.966968303</v>
      </c>
      <c r="AD14" s="145">
        <f t="shared" si="6"/>
        <v>708137.5518248609</v>
      </c>
      <c r="AE14" s="177">
        <f t="shared" si="11"/>
        <v>54739167.63615288</v>
      </c>
      <c r="AF14" s="178">
        <f t="shared" si="7"/>
        <v>25574247.9169683</v>
      </c>
      <c r="AG14" s="178">
        <f t="shared" si="10"/>
        <v>708137.5518248609</v>
      </c>
      <c r="AH14" s="178">
        <f t="shared" si="8"/>
        <v>81021553.10494605</v>
      </c>
      <c r="AI14" s="6">
        <f t="shared" si="9"/>
        <v>22636003.114946052</v>
      </c>
    </row>
    <row r="15" spans="1:35" ht="21">
      <c r="A15" s="96" t="str">
        <f>+'จัดกลุ่มคชจ.64'!C15</f>
        <v>คณะเกษตรศาสตร์</v>
      </c>
      <c r="B15" s="94">
        <f>+'จัดกลุ่มคชจ.64'!D15</f>
        <v>0</v>
      </c>
      <c r="C15" s="94">
        <f>+'จัดกลุ่มคชจ.64'!E15</f>
        <v>1956798.68</v>
      </c>
      <c r="D15" s="94">
        <f>+'จัดกลุ่มคชจ.64'!F15</f>
        <v>790</v>
      </c>
      <c r="E15" s="94">
        <f>+'จัดกลุ่มคชจ.64'!G15</f>
        <v>689000</v>
      </c>
      <c r="F15" s="94">
        <f>+'จัดกลุ่มคชจ.64'!H15</f>
        <v>0</v>
      </c>
      <c r="G15" s="94">
        <f>+'จัดกลุ่มคชจ.64'!I15</f>
        <v>0</v>
      </c>
      <c r="H15" s="94">
        <f>+'จัดกลุ่มคชจ.64'!J15</f>
        <v>0</v>
      </c>
      <c r="I15" s="94">
        <f>+'จัดกลุ่มคชจ.64'!K15</f>
        <v>4834</v>
      </c>
      <c r="J15" s="94">
        <f>+'จัดกลุ่มคชจ.64'!L15</f>
        <v>0</v>
      </c>
      <c r="K15" s="94">
        <f>+'จัดกลุ่มคชจ.64'!M15</f>
        <v>0</v>
      </c>
      <c r="L15" s="94">
        <f>+'จัดกลุ่มคชจ.64'!N15</f>
        <v>357735</v>
      </c>
      <c r="M15" s="94">
        <f>+'จัดกลุ่มคชจ.64'!O15</f>
        <v>0</v>
      </c>
      <c r="N15" s="94">
        <f t="shared" si="0"/>
        <v>3009157.6799999997</v>
      </c>
      <c r="O15" s="94">
        <f>+'จัดกลุ่มคชจ.64'!S15</f>
        <v>0</v>
      </c>
      <c r="P15" s="94">
        <f>+'จัดกลุ่มคชจ.64'!T15</f>
        <v>1883574.9500000002</v>
      </c>
      <c r="Q15" s="94">
        <f>+'จัดกลุ่มคชจ.64'!U15</f>
        <v>0</v>
      </c>
      <c r="R15" s="94">
        <f>+'จัดกลุ่มคชจ.64'!V15</f>
        <v>3964245.38</v>
      </c>
      <c r="S15" s="94">
        <f>+'จัดกลุ่มคชจ.64'!W15</f>
        <v>1562305.1</v>
      </c>
      <c r="T15" s="94">
        <f>+'จัดกลุ่มคชจ.64'!X15</f>
        <v>0</v>
      </c>
      <c r="U15" s="94">
        <f t="shared" si="1"/>
        <v>7410125.43</v>
      </c>
      <c r="V15" s="127">
        <f>+'สรุปคชจ.64'!Z16</f>
        <v>0</v>
      </c>
      <c r="W15" s="127">
        <f>+'สรุปคชจ.64'!AA16</f>
        <v>0</v>
      </c>
      <c r="X15" s="127">
        <f>+'สรุปคชจ.64'!AB16</f>
        <v>0</v>
      </c>
      <c r="Y15" s="97">
        <f t="shared" si="2"/>
        <v>0</v>
      </c>
      <c r="Z15" s="136">
        <f t="shared" si="3"/>
        <v>10419283.11</v>
      </c>
      <c r="AA15" s="148">
        <v>479.64</v>
      </c>
      <c r="AB15" s="145">
        <f t="shared" si="4"/>
        <v>12173000.610760272</v>
      </c>
      <c r="AC15" s="145">
        <f t="shared" si="5"/>
        <v>7465287.235037488</v>
      </c>
      <c r="AD15" s="145">
        <f t="shared" si="6"/>
        <v>634198.0270320342</v>
      </c>
      <c r="AE15" s="177">
        <f t="shared" si="11"/>
        <v>15182158.290760271</v>
      </c>
      <c r="AF15" s="178">
        <f t="shared" si="7"/>
        <v>14875412.665037487</v>
      </c>
      <c r="AG15" s="178">
        <f t="shared" si="10"/>
        <v>634198.0270320342</v>
      </c>
      <c r="AH15" s="178">
        <f t="shared" si="8"/>
        <v>30691768.98282979</v>
      </c>
      <c r="AI15" s="6">
        <f t="shared" si="9"/>
        <v>20272485.87282979</v>
      </c>
    </row>
    <row r="16" spans="1:35" ht="21">
      <c r="A16" s="96" t="str">
        <f>+'จัดกลุ่มคชจ.64'!C16</f>
        <v>คณะเทคโนโลยีการจัดการ</v>
      </c>
      <c r="B16" s="94">
        <f>+'จัดกลุ่มคชจ.64'!D16</f>
        <v>22170731.380000003</v>
      </c>
      <c r="C16" s="94">
        <f>+'จัดกลุ่มคชจ.64'!E16</f>
        <v>4728846.71</v>
      </c>
      <c r="D16" s="94">
        <f>+'จัดกลุ่มคชจ.64'!F16</f>
        <v>78484.5</v>
      </c>
      <c r="E16" s="94">
        <f>+'จัดกลุ่มคชจ.64'!G16</f>
        <v>429122</v>
      </c>
      <c r="F16" s="94">
        <f>+'จัดกลุ่มคชจ.64'!H16</f>
        <v>0</v>
      </c>
      <c r="G16" s="94">
        <f>+'จัดกลุ่มคชจ.64'!I16</f>
        <v>0</v>
      </c>
      <c r="H16" s="94">
        <f>+'จัดกลุ่มคชจ.64'!J16</f>
        <v>0</v>
      </c>
      <c r="I16" s="94">
        <f>+'จัดกลุ่มคชจ.64'!K16</f>
        <v>0</v>
      </c>
      <c r="J16" s="94">
        <f>+'จัดกลุ่มคชจ.64'!L16</f>
        <v>0</v>
      </c>
      <c r="K16" s="94">
        <f>+'จัดกลุ่มคชจ.64'!M16</f>
        <v>0</v>
      </c>
      <c r="L16" s="94">
        <f>+'จัดกลุ่มคชจ.64'!N16</f>
        <v>893950</v>
      </c>
      <c r="M16" s="94">
        <f>+'จัดกลุ่มคชจ.64'!O16</f>
        <v>0</v>
      </c>
      <c r="N16" s="94">
        <f t="shared" si="0"/>
        <v>28301134.590000004</v>
      </c>
      <c r="O16" s="94">
        <f>+'จัดกลุ่มคชจ.64'!S16</f>
        <v>10000</v>
      </c>
      <c r="P16" s="94">
        <f>+'จัดกลุ่มคชจ.64'!T16</f>
        <v>3474437.91</v>
      </c>
      <c r="Q16" s="94">
        <f>+'จัดกลุ่มคชจ.64'!U16</f>
        <v>0</v>
      </c>
      <c r="R16" s="94">
        <f>+'จัดกลุ่มคชจ.64'!V16</f>
        <v>8731208.73</v>
      </c>
      <c r="S16" s="94">
        <f>+'จัดกลุ่มคชจ.64'!W16</f>
        <v>1691462.2200000002</v>
      </c>
      <c r="T16" s="94">
        <f>+'จัดกลุ่มคชจ.64'!X16</f>
        <v>0</v>
      </c>
      <c r="U16" s="94">
        <f t="shared" si="1"/>
        <v>13907108.860000001</v>
      </c>
      <c r="V16" s="127">
        <f>+'สรุปคชจ.64'!Z17</f>
        <v>0</v>
      </c>
      <c r="W16" s="127">
        <f>+'สรุปคชจ.64'!AA17</f>
        <v>0</v>
      </c>
      <c r="X16" s="127">
        <f>+'สรุปคชจ.64'!AB17</f>
        <v>0</v>
      </c>
      <c r="Y16" s="97">
        <f t="shared" si="2"/>
        <v>0</v>
      </c>
      <c r="Z16" s="136">
        <f t="shared" si="3"/>
        <v>42208243.45</v>
      </c>
      <c r="AA16" s="148">
        <v>1126.11</v>
      </c>
      <c r="AB16" s="145">
        <f t="shared" si="4"/>
        <v>28580055.286846902</v>
      </c>
      <c r="AC16" s="145">
        <f t="shared" si="5"/>
        <v>17527175.81571192</v>
      </c>
      <c r="AD16" s="145">
        <f t="shared" si="6"/>
        <v>1488984.9475044701</v>
      </c>
      <c r="AE16" s="177">
        <f>+N16+AB16</f>
        <v>56881189.87684691</v>
      </c>
      <c r="AF16" s="178">
        <f t="shared" si="7"/>
        <v>31434284.675711922</v>
      </c>
      <c r="AG16" s="178">
        <f t="shared" si="10"/>
        <v>1488984.9475044701</v>
      </c>
      <c r="AH16" s="178">
        <f t="shared" si="8"/>
        <v>89804459.50006332</v>
      </c>
      <c r="AI16" s="6">
        <f t="shared" si="9"/>
        <v>47596216.05006331</v>
      </c>
    </row>
    <row r="17" spans="1:35" ht="21">
      <c r="A17" s="96" t="str">
        <f>+'จัดกลุ่มคชจ.64'!C17</f>
        <v>คณะวิทยาศาสตร์และเทคโนโลยี</v>
      </c>
      <c r="B17" s="94">
        <f>+'จัดกลุ่มคชจ.64'!D17</f>
        <v>0</v>
      </c>
      <c r="C17" s="94">
        <f>+'จัดกลุ่มคชจ.64'!E17</f>
        <v>0</v>
      </c>
      <c r="D17" s="94">
        <f>+'จัดกลุ่มคชจ.64'!F17</f>
        <v>0</v>
      </c>
      <c r="E17" s="94">
        <f>+'จัดกลุ่มคชจ.64'!G17</f>
        <v>0</v>
      </c>
      <c r="F17" s="94">
        <f>+'จัดกลุ่มคชจ.64'!H17</f>
        <v>0</v>
      </c>
      <c r="G17" s="94">
        <f>+'จัดกลุ่มคชจ.64'!I17</f>
        <v>0</v>
      </c>
      <c r="H17" s="94">
        <f>+'จัดกลุ่มคชจ.64'!J17</f>
        <v>0</v>
      </c>
      <c r="I17" s="94">
        <f>+'จัดกลุ่มคชจ.64'!K17</f>
        <v>0</v>
      </c>
      <c r="J17" s="94">
        <f>+'จัดกลุ่มคชจ.64'!L17</f>
        <v>0</v>
      </c>
      <c r="K17" s="94">
        <f>+'จัดกลุ่มคชจ.64'!M17</f>
        <v>0</v>
      </c>
      <c r="L17" s="94">
        <f>+'จัดกลุ่มคชจ.64'!N17</f>
        <v>0</v>
      </c>
      <c r="M17" s="94">
        <f>+'จัดกลุ่มคชจ.64'!O17</f>
        <v>0</v>
      </c>
      <c r="N17" s="94">
        <f t="shared" si="0"/>
        <v>0</v>
      </c>
      <c r="O17" s="94">
        <f>+'จัดกลุ่มคชจ.64'!S17</f>
        <v>0</v>
      </c>
      <c r="P17" s="94">
        <f>+'จัดกลุ่มคชจ.64'!T17</f>
        <v>0</v>
      </c>
      <c r="Q17" s="94">
        <f>+'จัดกลุ่มคชจ.64'!U17</f>
        <v>0</v>
      </c>
      <c r="R17" s="94">
        <f>+'จัดกลุ่มคชจ.64'!V17</f>
        <v>924243.09</v>
      </c>
      <c r="S17" s="94">
        <f>+'จัดกลุ่มคชจ.64'!W17</f>
        <v>549678.82</v>
      </c>
      <c r="T17" s="94">
        <f>+'จัดกลุ่มคชจ.64'!X17</f>
        <v>0</v>
      </c>
      <c r="U17" s="94">
        <f t="shared" si="1"/>
        <v>1473921.91</v>
      </c>
      <c r="V17" s="127">
        <f>+'สรุปคชจ.64'!Z18</f>
        <v>0</v>
      </c>
      <c r="W17" s="127">
        <f>+'สรุปคชจ.64'!AA18</f>
        <v>0</v>
      </c>
      <c r="X17" s="127">
        <f>+'สรุปคชจ.64'!AB18</f>
        <v>0</v>
      </c>
      <c r="Y17" s="97">
        <f t="shared" si="2"/>
        <v>0</v>
      </c>
      <c r="Z17" s="136">
        <f t="shared" si="3"/>
        <v>1473921.91</v>
      </c>
      <c r="AA17" s="148">
        <v>2.67</v>
      </c>
      <c r="AB17" s="145">
        <f t="shared" si="4"/>
        <v>67763.13825104228</v>
      </c>
      <c r="AC17" s="145">
        <f t="shared" si="5"/>
        <v>41556.82786579537</v>
      </c>
      <c r="AD17" s="145">
        <f t="shared" si="6"/>
        <v>3530.374306095262</v>
      </c>
      <c r="AE17" s="177">
        <f t="shared" si="11"/>
        <v>67763.13825104228</v>
      </c>
      <c r="AF17" s="178">
        <f t="shared" si="7"/>
        <v>1515478.7378657954</v>
      </c>
      <c r="AG17" s="178">
        <f t="shared" si="10"/>
        <v>3530.374306095262</v>
      </c>
      <c r="AH17" s="178">
        <f t="shared" si="8"/>
        <v>1586772.250422933</v>
      </c>
      <c r="AI17" s="6">
        <f t="shared" si="9"/>
        <v>112850.34042293299</v>
      </c>
    </row>
    <row r="18" spans="1:35" ht="21">
      <c r="A18" s="96" t="str">
        <f>+'จัดกลุ่มคชจ.64'!C18</f>
        <v>คณะเกษตรศาสตร์</v>
      </c>
      <c r="B18" s="94">
        <f>+'จัดกลุ่มคชจ.64'!D18</f>
        <v>16113626.73</v>
      </c>
      <c r="C18" s="94">
        <f>+'จัดกลุ่มคชจ.64'!E18</f>
        <v>491286</v>
      </c>
      <c r="D18" s="94">
        <f>+'จัดกลุ่มคชจ.64'!F18</f>
        <v>122161</v>
      </c>
      <c r="E18" s="94">
        <f>+'จัดกลุ่มคชจ.64'!G18</f>
        <v>0</v>
      </c>
      <c r="F18" s="94">
        <f>+'จัดกลุ่มคชจ.64'!H18</f>
        <v>7460</v>
      </c>
      <c r="G18" s="94">
        <f>+'จัดกลุ่มคชจ.64'!I18</f>
        <v>0</v>
      </c>
      <c r="H18" s="94">
        <f>+'จัดกลุ่มคชจ.64'!J18</f>
        <v>14524</v>
      </c>
      <c r="I18" s="94">
        <f>+'จัดกลุ่มคชจ.64'!K18</f>
        <v>0</v>
      </c>
      <c r="J18" s="94">
        <f>+'จัดกลุ่มคชจ.64'!L18</f>
        <v>0</v>
      </c>
      <c r="K18" s="94">
        <f>+'จัดกลุ่มคชจ.64'!M18</f>
        <v>0</v>
      </c>
      <c r="L18" s="94">
        <f>+'จัดกลุ่มคชจ.64'!N18</f>
        <v>138800</v>
      </c>
      <c r="M18" s="94">
        <f>+'จัดกลุ่มคชจ.64'!O18</f>
        <v>0</v>
      </c>
      <c r="N18" s="94">
        <f t="shared" si="0"/>
        <v>16887857.73</v>
      </c>
      <c r="O18" s="94">
        <f>+'จัดกลุ่มคชจ.64'!S18</f>
        <v>1752258.76</v>
      </c>
      <c r="P18" s="94">
        <f>+'จัดกลุ่มคชจ.64'!T18</f>
        <v>191968.49</v>
      </c>
      <c r="Q18" s="94">
        <f>+'จัดกลุ่มคชจ.64'!U18</f>
        <v>0</v>
      </c>
      <c r="R18" s="94">
        <f>+'จัดกลุ่มคชจ.64'!V18</f>
        <v>8388914.69</v>
      </c>
      <c r="S18" s="94">
        <f>+'จัดกลุ่มคชจ.64'!W18</f>
        <v>861807.9600000001</v>
      </c>
      <c r="T18" s="94">
        <f>+'จัดกลุ่มคชจ.64'!X18</f>
        <v>0</v>
      </c>
      <c r="U18" s="94">
        <f t="shared" si="1"/>
        <v>11194949.9</v>
      </c>
      <c r="V18" s="127">
        <f>+'สรุปคชจ.64'!Z19</f>
        <v>0</v>
      </c>
      <c r="W18" s="127">
        <f>+'สรุปคชจ.64'!AA19</f>
        <v>226896</v>
      </c>
      <c r="X18" s="127">
        <f>+'สรุปคชจ.64'!AB19</f>
        <v>0</v>
      </c>
      <c r="Y18" s="97">
        <f t="shared" si="2"/>
        <v>226896</v>
      </c>
      <c r="Z18" s="136">
        <f t="shared" si="3"/>
        <v>28309703.630000003</v>
      </c>
      <c r="AA18" s="147">
        <v>166.16</v>
      </c>
      <c r="AB18" s="145">
        <f t="shared" si="4"/>
        <v>4217049.83213228</v>
      </c>
      <c r="AC18" s="145">
        <f t="shared" si="5"/>
        <v>2586173.227782981</v>
      </c>
      <c r="AD18" s="159">
        <f t="shared" si="6"/>
        <v>219702.99426995835</v>
      </c>
      <c r="AE18" s="179">
        <f t="shared" si="11"/>
        <v>21104907.56213228</v>
      </c>
      <c r="AF18" s="178">
        <f t="shared" si="7"/>
        <v>13781123.127782982</v>
      </c>
      <c r="AG18" s="178">
        <f t="shared" si="10"/>
        <v>446598.99426995835</v>
      </c>
      <c r="AH18" s="178">
        <f t="shared" si="8"/>
        <v>35332629.68418522</v>
      </c>
      <c r="AI18" s="6">
        <f t="shared" si="9"/>
        <v>7022926.054185219</v>
      </c>
    </row>
    <row r="19" spans="1:35" ht="21">
      <c r="A19" s="96" t="str">
        <f>+'จัดกลุ่มคชจ.64'!C19</f>
        <v>คณะอุตสาหกรรมเกษตร</v>
      </c>
      <c r="B19" s="94">
        <f>+'จัดกลุ่มคชจ.64'!D19</f>
        <v>5495667.23</v>
      </c>
      <c r="C19" s="94">
        <f>+'จัดกลุ่มคชจ.64'!E19</f>
        <v>303278</v>
      </c>
      <c r="D19" s="94">
        <f>+'จัดกลุ่มคชจ.64'!F19</f>
        <v>73650</v>
      </c>
      <c r="E19" s="94">
        <f>+'จัดกลุ่มคชจ.64'!G19</f>
        <v>43000</v>
      </c>
      <c r="F19" s="94">
        <f>+'จัดกลุ่มคชจ.64'!H19</f>
        <v>6700</v>
      </c>
      <c r="G19" s="94">
        <f>+'จัดกลุ่มคชจ.64'!I19</f>
        <v>0</v>
      </c>
      <c r="H19" s="94">
        <f>+'จัดกลุ่มคชจ.64'!J19</f>
        <v>5476</v>
      </c>
      <c r="I19" s="94">
        <f>+'จัดกลุ่มคชจ.64'!K19</f>
        <v>8696</v>
      </c>
      <c r="J19" s="94">
        <f>+'จัดกลุ่มคชจ.64'!L19</f>
        <v>0</v>
      </c>
      <c r="K19" s="94">
        <f>+'จัดกลุ่มคชจ.64'!M19</f>
        <v>0</v>
      </c>
      <c r="L19" s="94">
        <f>+'จัดกลุ่มคชจ.64'!N19</f>
        <v>139500</v>
      </c>
      <c r="M19" s="94">
        <f>+'จัดกลุ่มคชจ.64'!O19</f>
        <v>0</v>
      </c>
      <c r="N19" s="94">
        <f t="shared" si="0"/>
        <v>6075967.23</v>
      </c>
      <c r="O19" s="94">
        <f>+'จัดกลุ่มคชจ.64'!S19</f>
        <v>190192.19</v>
      </c>
      <c r="P19" s="94">
        <f>+'จัดกลุ่มคชจ.64'!T19</f>
        <v>348458.54</v>
      </c>
      <c r="Q19" s="94">
        <f>+'จัดกลุ่มคชจ.64'!U19</f>
        <v>0</v>
      </c>
      <c r="R19" s="94">
        <f>+'จัดกลุ่มคชจ.64'!V19</f>
        <v>3880429.1</v>
      </c>
      <c r="S19" s="94">
        <f>+'จัดกลุ่มคชจ.64'!W19</f>
        <v>102508.19</v>
      </c>
      <c r="T19" s="94">
        <f>+'จัดกลุ่มคชจ.64'!X19</f>
        <v>0</v>
      </c>
      <c r="U19" s="94">
        <f t="shared" si="1"/>
        <v>4521588.0200000005</v>
      </c>
      <c r="V19" s="127">
        <f>+'สรุปคชจ.64'!Z20</f>
        <v>0</v>
      </c>
      <c r="W19" s="127">
        <f>+'สรุปคชจ.64'!AA20</f>
        <v>82106</v>
      </c>
      <c r="X19" s="127">
        <f>+'สรุปคชจ.64'!AB20</f>
        <v>0</v>
      </c>
      <c r="Y19" s="97">
        <f t="shared" si="2"/>
        <v>82106</v>
      </c>
      <c r="Z19" s="136">
        <f t="shared" si="3"/>
        <v>10679661.25</v>
      </c>
      <c r="AA19" s="147">
        <v>98.47</v>
      </c>
      <c r="AB19" s="145">
        <f t="shared" si="4"/>
        <v>2499114.690479451</v>
      </c>
      <c r="AC19" s="145">
        <f t="shared" si="5"/>
        <v>1532622.0374325356</v>
      </c>
      <c r="AD19" s="159">
        <f t="shared" si="6"/>
        <v>130200.73330382041</v>
      </c>
      <c r="AE19" s="179">
        <f>+N19+AB19</f>
        <v>8575081.92047945</v>
      </c>
      <c r="AF19" s="178">
        <f t="shared" si="7"/>
        <v>6054210.057432536</v>
      </c>
      <c r="AG19" s="178">
        <f t="shared" si="10"/>
        <v>212306.73330382042</v>
      </c>
      <c r="AH19" s="178">
        <f t="shared" si="8"/>
        <v>14841598.711215807</v>
      </c>
      <c r="AI19" s="6">
        <f t="shared" si="9"/>
        <v>4161937.461215807</v>
      </c>
    </row>
    <row r="20" spans="1:35" ht="21">
      <c r="A20" s="96" t="str">
        <f>+'จัดกลุ่มคชจ.64'!C20</f>
        <v>คณะสัตวแพทยศาสตร์</v>
      </c>
      <c r="B20" s="94">
        <f>+'จัดกลุ่มคชจ.64'!D20</f>
        <v>22730701.03</v>
      </c>
      <c r="C20" s="94">
        <f>+'จัดกลุ่มคชจ.64'!E20</f>
        <v>3834445.94</v>
      </c>
      <c r="D20" s="94">
        <f>+'จัดกลุ่มคชจ.64'!F20</f>
        <v>22200</v>
      </c>
      <c r="E20" s="94">
        <f>+'จัดกลุ่มคชจ.64'!G20</f>
        <v>12607.43</v>
      </c>
      <c r="F20" s="94">
        <f>+'จัดกลุ่มคชจ.64'!H20</f>
        <v>148390</v>
      </c>
      <c r="G20" s="94">
        <f>+'จัดกลุ่มคชจ.64'!I20</f>
        <v>0</v>
      </c>
      <c r="H20" s="94">
        <f>+'จัดกลุ่มคชจ.64'!J20</f>
        <v>0</v>
      </c>
      <c r="I20" s="94">
        <f>+'จัดกลุ่มคชจ.64'!K20</f>
        <v>136527</v>
      </c>
      <c r="J20" s="94">
        <f>+'จัดกลุ่มคชจ.64'!L20</f>
        <v>0</v>
      </c>
      <c r="K20" s="94">
        <f>+'จัดกลุ่มคชจ.64'!M20</f>
        <v>0</v>
      </c>
      <c r="L20" s="94">
        <f>+'จัดกลุ่มคชจ.64'!N20</f>
        <v>420000</v>
      </c>
      <c r="M20" s="94">
        <f>+'จัดกลุ่มคชจ.64'!O20</f>
        <v>0</v>
      </c>
      <c r="N20" s="94">
        <f t="shared" si="0"/>
        <v>27304871.400000002</v>
      </c>
      <c r="O20" s="94">
        <f>+'จัดกลุ่มคชจ.64'!S20</f>
        <v>35000.1</v>
      </c>
      <c r="P20" s="94">
        <f>+'จัดกลุ่มคชจ.64'!T20</f>
        <v>1626019.63</v>
      </c>
      <c r="Q20" s="94">
        <f>+'จัดกลุ่มคชจ.64'!U20</f>
        <v>0</v>
      </c>
      <c r="R20" s="94">
        <f>+'จัดกลุ่มคชจ.64'!V20</f>
        <v>11882745.29</v>
      </c>
      <c r="S20" s="94">
        <f>+'จัดกลุ่มคชจ.64'!W20</f>
        <v>471086.51</v>
      </c>
      <c r="T20" s="94">
        <f>+'จัดกลุ่มคชจ.64'!X20</f>
        <v>0</v>
      </c>
      <c r="U20" s="94">
        <f t="shared" si="1"/>
        <v>14014851.53</v>
      </c>
      <c r="V20" s="127">
        <f>+'สรุปคชจ.64'!Z21</f>
        <v>0</v>
      </c>
      <c r="W20" s="127">
        <f>+'สรุปคชจ.64'!AA21</f>
        <v>616120</v>
      </c>
      <c r="X20" s="127">
        <f>+'สรุปคชจ.64'!AB21</f>
        <v>0</v>
      </c>
      <c r="Y20" s="97">
        <f t="shared" si="2"/>
        <v>616120</v>
      </c>
      <c r="Z20" s="136">
        <f t="shared" si="3"/>
        <v>41935842.93</v>
      </c>
      <c r="AA20" s="147">
        <v>279.17</v>
      </c>
      <c r="AB20" s="145">
        <f t="shared" si="4"/>
        <v>7085181.762375834</v>
      </c>
      <c r="AC20" s="145">
        <f t="shared" si="5"/>
        <v>4345100.987001534</v>
      </c>
      <c r="AD20" s="159">
        <f t="shared" si="6"/>
        <v>369129.06180996797</v>
      </c>
      <c r="AE20" s="179">
        <f>+N20+AB20</f>
        <v>34390053.16237584</v>
      </c>
      <c r="AF20" s="178">
        <f t="shared" si="7"/>
        <v>18359952.517001532</v>
      </c>
      <c r="AG20" s="178">
        <f t="shared" si="10"/>
        <v>985249.061809968</v>
      </c>
      <c r="AH20" s="178">
        <f t="shared" si="8"/>
        <v>53735254.741187334</v>
      </c>
      <c r="AI20" s="6">
        <f t="shared" si="9"/>
        <v>11799411.811187334</v>
      </c>
    </row>
    <row r="21" spans="1:35" ht="21">
      <c r="A21" s="96" t="str">
        <f>+'จัดกลุ่มคชจ.64'!C21</f>
        <v>คณะวิทยาศาสตร์และเทคโนโลยีการประมง</v>
      </c>
      <c r="B21" s="94">
        <f>+'จัดกลุ่มคชจ.64'!D21</f>
        <v>21905411.92</v>
      </c>
      <c r="C21" s="94">
        <f>+'จัดกลุ่มคชจ.64'!E21</f>
        <v>1118129.04</v>
      </c>
      <c r="D21" s="94">
        <f>+'จัดกลุ่มคชจ.64'!F21</f>
        <v>270905</v>
      </c>
      <c r="E21" s="94">
        <f>+'จัดกลุ่มคชจ.64'!G21</f>
        <v>389046</v>
      </c>
      <c r="F21" s="94">
        <f>+'จัดกลุ่มคชจ.64'!H21</f>
        <v>58450</v>
      </c>
      <c r="G21" s="94">
        <f>+'จัดกลุ่มคชจ.64'!I21</f>
        <v>0</v>
      </c>
      <c r="H21" s="94">
        <f>+'จัดกลุ่มคชจ.64'!J21</f>
        <v>61082</v>
      </c>
      <c r="I21" s="94">
        <f>+'จัดกลุ่มคชจ.64'!K21</f>
        <v>7756</v>
      </c>
      <c r="J21" s="94">
        <f>+'จัดกลุ่มคชจ.64'!L21</f>
        <v>0</v>
      </c>
      <c r="K21" s="94">
        <f>+'จัดกลุ่มคชจ.64'!M21</f>
        <v>0</v>
      </c>
      <c r="L21" s="94">
        <f>+'จัดกลุ่มคชจ.64'!N21</f>
        <v>1437680</v>
      </c>
      <c r="M21" s="94">
        <f>+'จัดกลุ่มคชจ.64'!O21</f>
        <v>0</v>
      </c>
      <c r="N21" s="94">
        <f t="shared" si="0"/>
        <v>25248459.96</v>
      </c>
      <c r="O21" s="94">
        <f>+'จัดกลุ่มคชจ.64'!S21</f>
        <v>1596380.23</v>
      </c>
      <c r="P21" s="94">
        <f>+'จัดกลุ่มคชจ.64'!T21</f>
        <v>876543.5</v>
      </c>
      <c r="Q21" s="94">
        <f>+'จัดกลุ่มคชจ.64'!U21</f>
        <v>0</v>
      </c>
      <c r="R21" s="94">
        <f>+'จัดกลุ่มคชจ.64'!V21</f>
        <v>4958181.35</v>
      </c>
      <c r="S21" s="94">
        <f>+'จัดกลุ่มคชจ.64'!W21</f>
        <v>384707.24</v>
      </c>
      <c r="T21" s="94">
        <f>+'จัดกลุ่มคชจ.64'!X21</f>
        <v>0</v>
      </c>
      <c r="U21" s="94">
        <f t="shared" si="1"/>
        <v>7815812.32</v>
      </c>
      <c r="V21" s="127">
        <f>+'สรุปคชจ.64'!Z22</f>
        <v>0</v>
      </c>
      <c r="W21" s="127">
        <f>+'สรุปคชจ.64'!AA22</f>
        <v>185000</v>
      </c>
      <c r="X21" s="127">
        <f>+'สรุปคชจ.64'!AB22</f>
        <v>0</v>
      </c>
      <c r="Y21" s="97">
        <f t="shared" si="2"/>
        <v>185000</v>
      </c>
      <c r="Z21" s="136">
        <f t="shared" si="3"/>
        <v>33249272.28</v>
      </c>
      <c r="AA21" s="147">
        <v>286.53</v>
      </c>
      <c r="AB21" s="145">
        <f t="shared" si="4"/>
        <v>7271974.532985448</v>
      </c>
      <c r="AC21" s="145">
        <f t="shared" si="5"/>
        <v>4459654.639845074</v>
      </c>
      <c r="AD21" s="159">
        <f t="shared" si="6"/>
        <v>378860.7303091668</v>
      </c>
      <c r="AE21" s="179">
        <f>+N21+AB21</f>
        <v>32520434.49298545</v>
      </c>
      <c r="AF21" s="178">
        <f t="shared" si="7"/>
        <v>12275466.959845074</v>
      </c>
      <c r="AG21" s="178">
        <f t="shared" si="10"/>
        <v>563860.7303091668</v>
      </c>
      <c r="AH21" s="178">
        <f t="shared" si="8"/>
        <v>45359762.18313969</v>
      </c>
      <c r="AI21" s="6">
        <f t="shared" si="9"/>
        <v>12110489.903139688</v>
      </c>
    </row>
    <row r="22" spans="1:35" ht="21">
      <c r="A22" s="96" t="str">
        <f>+'จัดกลุ่มคชจ.64'!C22</f>
        <v>คณะวิศวกรรมศาสตร์และเทคโนโลยี</v>
      </c>
      <c r="B22" s="94">
        <f>+'จัดกลุ่มคชจ.64'!D22</f>
        <v>8749275.65</v>
      </c>
      <c r="C22" s="94">
        <f>+'จัดกลุ่มคชจ.64'!E22</f>
        <v>1723249.81</v>
      </c>
      <c r="D22" s="94">
        <f>+'จัดกลุ่มคชจ.64'!F22</f>
        <v>94980</v>
      </c>
      <c r="E22" s="94">
        <f>+'จัดกลุ่มคชจ.64'!G22</f>
        <v>64800</v>
      </c>
      <c r="F22" s="94">
        <f>+'จัดกลุ่มคชจ.64'!H22</f>
        <v>145264</v>
      </c>
      <c r="G22" s="94">
        <f>+'จัดกลุ่มคชจ.64'!I22</f>
        <v>0</v>
      </c>
      <c r="H22" s="94">
        <f>+'จัดกลุ่มคชจ.64'!J22</f>
        <v>0</v>
      </c>
      <c r="I22" s="94">
        <f>+'จัดกลุ่มคชจ.64'!K22</f>
        <v>48911.99</v>
      </c>
      <c r="J22" s="94">
        <f>+'จัดกลุ่มคชจ.64'!L22</f>
        <v>0</v>
      </c>
      <c r="K22" s="94">
        <f>+'จัดกลุ่มคชจ.64'!M22</f>
        <v>0</v>
      </c>
      <c r="L22" s="94">
        <f>+'จัดกลุ่มคชจ.64'!N22</f>
        <v>472460</v>
      </c>
      <c r="M22" s="94">
        <f>+'จัดกลุ่มคชจ.64'!O22</f>
        <v>0</v>
      </c>
      <c r="N22" s="94">
        <f t="shared" si="0"/>
        <v>11298941.450000001</v>
      </c>
      <c r="O22" s="94">
        <f>+'จัดกลุ่มคชจ.64'!S22</f>
        <v>27992</v>
      </c>
      <c r="P22" s="94">
        <f>+'จัดกลุ่มคชจ.64'!T22</f>
        <v>523840.34</v>
      </c>
      <c r="Q22" s="94">
        <f>+'จัดกลุ่มคชจ.64'!U22</f>
        <v>0</v>
      </c>
      <c r="R22" s="94">
        <f>+'จัดกลุ่มคชจ.64'!V22</f>
        <v>2261108.97</v>
      </c>
      <c r="S22" s="94">
        <f>+'จัดกลุ่มคชจ.64'!W22</f>
        <v>27764.2</v>
      </c>
      <c r="T22" s="94">
        <f>+'จัดกลุ่มคชจ.64'!X22</f>
        <v>0</v>
      </c>
      <c r="U22" s="94">
        <f t="shared" si="1"/>
        <v>2840705.5100000007</v>
      </c>
      <c r="V22" s="127">
        <f>+'สรุปคชจ.64'!Z23</f>
        <v>0</v>
      </c>
      <c r="W22" s="127">
        <f>+'สรุปคชจ.64'!AA23</f>
        <v>140000</v>
      </c>
      <c r="X22" s="127">
        <f>+'สรุปคชจ.64'!AB23</f>
        <v>0</v>
      </c>
      <c r="Y22" s="97">
        <f t="shared" si="2"/>
        <v>140000</v>
      </c>
      <c r="Z22" s="136">
        <f t="shared" si="3"/>
        <v>14279646.96</v>
      </c>
      <c r="AA22" s="147">
        <v>452.89</v>
      </c>
      <c r="AB22" s="145">
        <f t="shared" si="4"/>
        <v>11494100.255623426</v>
      </c>
      <c r="AC22" s="145">
        <f t="shared" si="5"/>
        <v>7048940.738629239</v>
      </c>
      <c r="AD22" s="159">
        <f t="shared" si="6"/>
        <v>598828.1720926904</v>
      </c>
      <c r="AE22" s="179">
        <f>+N22+AB22</f>
        <v>22793041.705623426</v>
      </c>
      <c r="AF22" s="180">
        <f t="shared" si="7"/>
        <v>9889646.248629238</v>
      </c>
      <c r="AG22" s="180">
        <f>+Y22+AD22</f>
        <v>738828.1720926904</v>
      </c>
      <c r="AH22" s="180">
        <f>+AE22+AF22+AG22</f>
        <v>33421516.126345355</v>
      </c>
      <c r="AI22" s="6">
        <f t="shared" si="9"/>
        <v>19141869.166345354</v>
      </c>
    </row>
    <row r="23" spans="1:37" s="9" customFormat="1" ht="21.75" thickBot="1">
      <c r="A23" s="96" t="str">
        <f>+'จัดกลุ่มคชจ.64'!C23</f>
        <v>วิทยาลัยการโรงแรมและการท่องเที่ยว</v>
      </c>
      <c r="B23" s="94">
        <f>+'จัดกลุ่มคชจ.64'!D23</f>
        <v>16636046.87</v>
      </c>
      <c r="C23" s="94">
        <f>+'จัดกลุ่มคชจ.64'!E23</f>
        <v>1947440</v>
      </c>
      <c r="D23" s="94">
        <f>+'จัดกลุ่มคชจ.64'!F23</f>
        <v>5000</v>
      </c>
      <c r="E23" s="94">
        <f>+'จัดกลุ่มคชจ.64'!G23</f>
        <v>0</v>
      </c>
      <c r="F23" s="94">
        <f>+'จัดกลุ่มคชจ.64'!H23</f>
        <v>304950</v>
      </c>
      <c r="G23" s="94">
        <f>+'จัดกลุ่มคชจ.64'!I23</f>
        <v>0</v>
      </c>
      <c r="H23" s="94">
        <f>+'จัดกลุ่มคชจ.64'!J23</f>
        <v>56574.62</v>
      </c>
      <c r="I23" s="94">
        <f>+'จัดกลุ่มคชจ.64'!K23</f>
        <v>90673.76</v>
      </c>
      <c r="J23" s="94">
        <f>+'จัดกลุ่มคชจ.64'!L23</f>
        <v>0</v>
      </c>
      <c r="K23" s="94">
        <f>+'จัดกลุ่มคชจ.64'!M23</f>
        <v>0</v>
      </c>
      <c r="L23" s="94">
        <f>+'จัดกลุ่มคชจ.64'!N23</f>
        <v>831360</v>
      </c>
      <c r="M23" s="94">
        <f>+'จัดกลุ่มคชจ.64'!O23</f>
        <v>0</v>
      </c>
      <c r="N23" s="94">
        <f t="shared" si="0"/>
        <v>19872045.25</v>
      </c>
      <c r="O23" s="94">
        <f>+'จัดกลุ่มคชจ.64'!S23</f>
        <v>407198</v>
      </c>
      <c r="P23" s="94">
        <f>+'จัดกลุ่มคชจ.64'!T23</f>
        <v>1091968.04</v>
      </c>
      <c r="Q23" s="94">
        <f>+'จัดกลุ่มคชจ.64'!U23</f>
        <v>0</v>
      </c>
      <c r="R23" s="94">
        <f>+'จัดกลุ่มคชจ.64'!V23</f>
        <v>2996118.51</v>
      </c>
      <c r="S23" s="94">
        <f>+'จัดกลุ่มคชจ.64'!W23</f>
        <v>657230.75</v>
      </c>
      <c r="T23" s="94">
        <f>+'จัดกลุ่มคชจ.64'!X23</f>
        <v>0</v>
      </c>
      <c r="U23" s="94">
        <f t="shared" si="1"/>
        <v>5152515.3</v>
      </c>
      <c r="V23" s="127">
        <f>+'สรุปคชจ.64'!Z24</f>
        <v>0</v>
      </c>
      <c r="W23" s="127">
        <f>+'สรุปคชจ.64'!AA24</f>
        <v>230000</v>
      </c>
      <c r="X23" s="127">
        <f>+'สรุปคชจ.64'!AB24</f>
        <v>0</v>
      </c>
      <c r="Y23" s="97">
        <f t="shared" si="2"/>
        <v>230000</v>
      </c>
      <c r="Z23" s="136">
        <f t="shared" si="3"/>
        <v>25254560.55</v>
      </c>
      <c r="AA23" s="149">
        <v>423.51</v>
      </c>
      <c r="AB23" s="145">
        <f t="shared" si="4"/>
        <v>10748451.940336674</v>
      </c>
      <c r="AC23" s="145">
        <f t="shared" si="5"/>
        <v>6591659.9885554295</v>
      </c>
      <c r="AD23" s="159">
        <f t="shared" si="6"/>
        <v>559980.8323499643</v>
      </c>
      <c r="AE23" s="181">
        <f>+N23+AB23</f>
        <v>30620497.190336674</v>
      </c>
      <c r="AF23" s="180">
        <f t="shared" si="7"/>
        <v>11744175.288555428</v>
      </c>
      <c r="AG23" s="180">
        <f>+Y23+AD23</f>
        <v>789980.8323499643</v>
      </c>
      <c r="AH23" s="180">
        <f>+AE23+AF23+AG23</f>
        <v>43154653.31124207</v>
      </c>
      <c r="AI23" s="6">
        <f t="shared" si="9"/>
        <v>17900092.761242066</v>
      </c>
      <c r="AJ23" s="5"/>
      <c r="AK23" s="5"/>
    </row>
    <row r="24" spans="1:34" ht="21.75" thickBot="1">
      <c r="A24" s="39" t="s">
        <v>14</v>
      </c>
      <c r="B24" s="94">
        <f>+'จัดกลุ่มคชจ.64'!D24</f>
        <v>313304754.48999995</v>
      </c>
      <c r="C24" s="94">
        <f>+'จัดกลุ่มคชจ.64'!E24</f>
        <v>39339900.79</v>
      </c>
      <c r="D24" s="94">
        <f>+'จัดกลุ่มคชจ.64'!F24</f>
        <v>1636633.1</v>
      </c>
      <c r="E24" s="94">
        <f>+'จัดกลุ่มคชจ.64'!G24</f>
        <v>3031009.43</v>
      </c>
      <c r="F24" s="94">
        <f>+'จัดกลุ่มคชจ.64'!H24</f>
        <v>3806679</v>
      </c>
      <c r="G24" s="94">
        <f>+'จัดกลุ่มคชจ.64'!I24</f>
        <v>0</v>
      </c>
      <c r="H24" s="94">
        <f>+'จัดกลุ่มคชจ.64'!J24</f>
        <v>266859.42</v>
      </c>
      <c r="I24" s="94">
        <f>+'จัดกลุ่มคชจ.64'!K24</f>
        <v>885284.44</v>
      </c>
      <c r="J24" s="94">
        <f>+'จัดกลุ่มคชจ.64'!L24</f>
        <v>0</v>
      </c>
      <c r="K24" s="94">
        <f>+'จัดกลุ่มคชจ.64'!M24</f>
        <v>0</v>
      </c>
      <c r="L24" s="94">
        <f>+'จัดกลุ่มคชจ.64'!N24</f>
        <v>6959754</v>
      </c>
      <c r="M24" s="94">
        <f>+'จัดกลุ่มคชจ.64'!O24</f>
        <v>0</v>
      </c>
      <c r="N24" s="94">
        <f t="shared" si="0"/>
        <v>369230874.67</v>
      </c>
      <c r="O24" s="94">
        <f>+'จัดกลุ่มคชจ.64'!S24</f>
        <v>23727038.940000005</v>
      </c>
      <c r="P24" s="94">
        <f>+'จัดกลุ่มคชจ.64'!T24</f>
        <v>56196425.32000002</v>
      </c>
      <c r="Q24" s="94">
        <f>+'จัดกลุ่มคชจ.64'!U24</f>
        <v>0</v>
      </c>
      <c r="R24" s="94">
        <f>+'จัดกลุ่มคชจ.64'!V24</f>
        <v>173254488.67999995</v>
      </c>
      <c r="S24" s="94">
        <f>+'จัดกลุ่มคชจ.64'!W24</f>
        <v>23891083.68</v>
      </c>
      <c r="T24" s="94">
        <f>+'จัดกลุ่มคชจ.64'!X24</f>
        <v>0</v>
      </c>
      <c r="U24" s="94">
        <f t="shared" si="1"/>
        <v>277069036.61999995</v>
      </c>
      <c r="V24" s="127">
        <f>+'สรุปคชจ.64'!Z25</f>
        <v>52596</v>
      </c>
      <c r="W24" s="127">
        <f>+'สรุปคชจ.64'!AA25</f>
        <v>6644152</v>
      </c>
      <c r="X24" s="127">
        <f>+'สรุปคชจ.64'!AB25</f>
        <v>0</v>
      </c>
      <c r="Y24" s="97">
        <f t="shared" si="2"/>
        <v>6696748</v>
      </c>
      <c r="Z24" s="136">
        <f t="shared" si="3"/>
        <v>652996659.29</v>
      </c>
      <c r="AA24" s="150">
        <f aca="true" t="shared" si="12" ref="AA24:AH24">SUM(AA7:AA23)</f>
        <v>13556.759999999998</v>
      </c>
      <c r="AB24" s="150">
        <f t="shared" si="12"/>
        <v>344063146.86</v>
      </c>
      <c r="AC24" s="150">
        <f t="shared" si="12"/>
        <v>211002225.37000003</v>
      </c>
      <c r="AD24" s="156">
        <f t="shared" si="12"/>
        <v>17925257.37</v>
      </c>
      <c r="AE24" s="182">
        <f t="shared" si="12"/>
        <v>713294021.53</v>
      </c>
      <c r="AF24" s="182">
        <f t="shared" si="12"/>
        <v>488071261.98999995</v>
      </c>
      <c r="AG24" s="182">
        <f t="shared" si="12"/>
        <v>24622005.369999994</v>
      </c>
      <c r="AH24" s="182">
        <f t="shared" si="12"/>
        <v>1225987288.8900003</v>
      </c>
    </row>
    <row r="25" spans="1:34" ht="21.75" thickBot="1">
      <c r="A25" s="29" t="s">
        <v>15</v>
      </c>
      <c r="B25" s="94">
        <f>+'จัดกลุ่มคชจ.64'!D25</f>
        <v>0</v>
      </c>
      <c r="C25" s="94">
        <f>+'จัดกลุ่มคชจ.64'!E25</f>
        <v>0</v>
      </c>
      <c r="D25" s="94">
        <f>+'จัดกลุ่มคชจ.64'!F25</f>
        <v>0</v>
      </c>
      <c r="E25" s="94">
        <f>+'จัดกลุ่มคชจ.64'!G25</f>
        <v>0</v>
      </c>
      <c r="F25" s="94">
        <f>+'จัดกลุ่มคชจ.64'!H25</f>
        <v>0</v>
      </c>
      <c r="G25" s="94">
        <f>+'จัดกลุ่มคชจ.64'!I25</f>
        <v>0</v>
      </c>
      <c r="H25" s="94">
        <f>+'จัดกลุ่มคชจ.64'!J25</f>
        <v>0</v>
      </c>
      <c r="I25" s="94">
        <f>+'จัดกลุ่มคชจ.64'!K25</f>
        <v>0</v>
      </c>
      <c r="J25" s="94">
        <f>+'จัดกลุ่มคชจ.64'!L25</f>
        <v>0</v>
      </c>
      <c r="K25" s="94">
        <f>+'จัดกลุ่มคชจ.64'!M25</f>
        <v>0</v>
      </c>
      <c r="L25" s="94">
        <f>+'จัดกลุ่มคชจ.64'!N25</f>
        <v>0</v>
      </c>
      <c r="M25" s="94">
        <f>+'จัดกลุ่มคชจ.64'!O25</f>
        <v>0</v>
      </c>
      <c r="N25" s="94">
        <f t="shared" si="0"/>
        <v>0</v>
      </c>
      <c r="O25" s="94">
        <f>+'จัดกลุ่มคชจ.64'!S25</f>
        <v>0</v>
      </c>
      <c r="P25" s="94">
        <f>+'จัดกลุ่มคชจ.64'!T25</f>
        <v>0</v>
      </c>
      <c r="Q25" s="94">
        <f>+'จัดกลุ่มคชจ.64'!U25</f>
        <v>0</v>
      </c>
      <c r="R25" s="94">
        <f>+'จัดกลุ่มคชจ.64'!V25</f>
        <v>0</v>
      </c>
      <c r="S25" s="94">
        <f>+'จัดกลุ่มคชจ.64'!W25</f>
        <v>0</v>
      </c>
      <c r="T25" s="94">
        <f>+'จัดกลุ่มคชจ.64'!X25</f>
        <v>0</v>
      </c>
      <c r="U25" s="94">
        <f t="shared" si="1"/>
        <v>0</v>
      </c>
      <c r="V25" s="127">
        <f>+'สรุปคชจ.64'!Z26</f>
        <v>0</v>
      </c>
      <c r="W25" s="127">
        <f>+'สรุปคชจ.64'!AA26</f>
        <v>0</v>
      </c>
      <c r="X25" s="127">
        <f>+'สรุปคชจ.64'!AB26</f>
        <v>0</v>
      </c>
      <c r="Y25" s="97">
        <f t="shared" si="2"/>
        <v>0</v>
      </c>
      <c r="Z25" s="136">
        <f t="shared" si="3"/>
        <v>0</v>
      </c>
      <c r="AA25" s="144"/>
      <c r="AB25" s="145">
        <f>SUM(V25:Y25)</f>
        <v>0</v>
      </c>
      <c r="AC25" s="145">
        <f>+Z25</f>
        <v>0</v>
      </c>
      <c r="AD25" s="159">
        <f>+AA25</f>
        <v>0</v>
      </c>
      <c r="AE25" s="183">
        <f>+AE24*100/AH24</f>
        <v>58.18119225165956</v>
      </c>
      <c r="AF25" s="184">
        <f>+AF24*100/AH24</f>
        <v>39.810466748957566</v>
      </c>
      <c r="AG25" s="184">
        <f>+AG24*100/AH24</f>
        <v>2.0083409993828383</v>
      </c>
      <c r="AH25" s="184">
        <f>+AE25+AF25+AG25</f>
        <v>99.99999999999996</v>
      </c>
    </row>
    <row r="26" spans="1:34" ht="21.75" thickTop="1">
      <c r="A26" s="1" t="str">
        <f>+'จัดกลุ่มคชจ.64'!C26</f>
        <v>สำนักงานอธิการบดี และหน่วยงานในหน่วยเบิกจ่าย 00</v>
      </c>
      <c r="B26" s="94">
        <f>+'จัดกลุ่มคชจ.64'!D26</f>
        <v>262037339.09</v>
      </c>
      <c r="C26" s="94">
        <f>+'จัดกลุ่มคชจ.64'!E26</f>
        <v>11588183.85</v>
      </c>
      <c r="D26" s="94">
        <f>+'จัดกลุ่มคชจ.64'!F26</f>
        <v>10301779.93</v>
      </c>
      <c r="E26" s="94">
        <f>+'จัดกลุ่มคชจ.64'!G26</f>
        <v>496647.49</v>
      </c>
      <c r="F26" s="94">
        <f>+'จัดกลุ่มคชจ.64'!H26</f>
        <v>11500674.67</v>
      </c>
      <c r="G26" s="94">
        <f>+'จัดกลุ่มคชจ.64'!I26</f>
        <v>0</v>
      </c>
      <c r="H26" s="94">
        <f>+'จัดกลุ่มคชจ.64'!J26</f>
        <v>773403.4</v>
      </c>
      <c r="I26" s="94">
        <f>+'จัดกลุ่มคชจ.64'!K26</f>
        <v>24434</v>
      </c>
      <c r="J26" s="94">
        <f>+'จัดกลุ่มคชจ.64'!L26</f>
        <v>0</v>
      </c>
      <c r="K26" s="94">
        <f>+'จัดกลุ่มคชจ.64'!M26</f>
        <v>0</v>
      </c>
      <c r="L26" s="94">
        <f>+'จัดกลุ่มคชจ.64'!N26</f>
        <v>0</v>
      </c>
      <c r="M26" s="94">
        <f>+'จัดกลุ่มคชจ.64'!O26</f>
        <v>0</v>
      </c>
      <c r="N26" s="94">
        <f t="shared" si="0"/>
        <v>296722462.43</v>
      </c>
      <c r="O26" s="94">
        <f>+'จัดกลุ่มคชจ.64'!S26</f>
        <v>36286144.22</v>
      </c>
      <c r="P26" s="94">
        <f>+'จัดกลุ่มคชจ.64'!T26</f>
        <v>30480422.889999997</v>
      </c>
      <c r="Q26" s="94">
        <f>+'จัดกลุ่มคชจ.64'!U26</f>
        <v>0</v>
      </c>
      <c r="R26" s="94">
        <f>+'จัดกลุ่มคชจ.64'!V26</f>
        <v>17694687.24</v>
      </c>
      <c r="S26" s="94">
        <f>+'จัดกลุ่มคชจ.64'!W26</f>
        <v>9141978.040000001</v>
      </c>
      <c r="T26" s="94">
        <f>+'จัดกลุ่มคชจ.64'!X26</f>
        <v>0</v>
      </c>
      <c r="U26" s="94">
        <f t="shared" si="1"/>
        <v>93603232.39</v>
      </c>
      <c r="V26" s="127">
        <f>+'สรุปคชจ.64'!Z27</f>
        <v>7579856.89</v>
      </c>
      <c r="W26" s="127">
        <f>+'สรุปคชจ.64'!AA27</f>
        <v>2808990</v>
      </c>
      <c r="X26" s="127">
        <f>+'สรุปคชจ.64'!AB27</f>
        <v>0</v>
      </c>
      <c r="Y26" s="97">
        <f t="shared" si="2"/>
        <v>10388846.89</v>
      </c>
      <c r="Z26" s="136">
        <f t="shared" si="3"/>
        <v>400714541.71</v>
      </c>
      <c r="AA26" s="154"/>
      <c r="AB26" s="154"/>
      <c r="AC26" s="154"/>
      <c r="AD26" s="160"/>
      <c r="AH26" s="185"/>
    </row>
    <row r="27" spans="1:30" ht="21">
      <c r="A27" s="1" t="str">
        <f>+'จัดกลุ่มคชจ.64'!C27</f>
        <v>ส่วนกลางสงขลา</v>
      </c>
      <c r="B27" s="94">
        <f>+'จัดกลุ่มคชจ.64'!D27</f>
        <v>80869.04000000001</v>
      </c>
      <c r="C27" s="94">
        <f>+'จัดกลุ่มคชจ.64'!E27</f>
        <v>5521187.38</v>
      </c>
      <c r="D27" s="94">
        <f>+'จัดกลุ่มคชจ.64'!F27</f>
        <v>0</v>
      </c>
      <c r="E27" s="94">
        <f>+'จัดกลุ่มคชจ.64'!G27</f>
        <v>248475.8</v>
      </c>
      <c r="F27" s="94">
        <f>+'จัดกลุ่มคชจ.64'!H27</f>
        <v>1833678.3900000001</v>
      </c>
      <c r="G27" s="94">
        <f>+'จัดกลุ่มคชจ.64'!I27</f>
        <v>0</v>
      </c>
      <c r="H27" s="94">
        <f>+'จัดกลุ่มคชจ.64'!J27</f>
        <v>0</v>
      </c>
      <c r="I27" s="94">
        <f>+'จัดกลุ่มคชจ.64'!K27</f>
        <v>0</v>
      </c>
      <c r="J27" s="94">
        <f>+'จัดกลุ่มคชจ.64'!L27</f>
        <v>0</v>
      </c>
      <c r="K27" s="94">
        <f>+'จัดกลุ่มคชจ.64'!M27</f>
        <v>0</v>
      </c>
      <c r="L27" s="94">
        <f>+'จัดกลุ่มคชจ.64'!N27</f>
        <v>0</v>
      </c>
      <c r="M27" s="94">
        <f>+'จัดกลุ่มคชจ.64'!O27</f>
        <v>0</v>
      </c>
      <c r="N27" s="94">
        <f t="shared" si="0"/>
        <v>7684210.609999999</v>
      </c>
      <c r="O27" s="94">
        <f>+'จัดกลุ่มคชจ.64'!S27</f>
        <v>3328746.11</v>
      </c>
      <c r="P27" s="94">
        <f>+'จัดกลุ่มคชจ.64'!T27</f>
        <v>7800612.819999999</v>
      </c>
      <c r="Q27" s="94">
        <f>+'จัดกลุ่มคชจ.64'!U27</f>
        <v>0</v>
      </c>
      <c r="R27" s="94">
        <f>+'จัดกลุ่มคชจ.64'!V27</f>
        <v>0</v>
      </c>
      <c r="S27" s="94">
        <f>+'จัดกลุ่มคชจ.64'!W27</f>
        <v>0</v>
      </c>
      <c r="T27" s="94">
        <f>+'จัดกลุ่มคชจ.64'!X27</f>
        <v>0</v>
      </c>
      <c r="U27" s="94">
        <f t="shared" si="1"/>
        <v>11129358.93</v>
      </c>
      <c r="V27" s="127">
        <f>+'สรุปคชจ.64'!Z28</f>
        <v>4494</v>
      </c>
      <c r="W27" s="127">
        <f>+'สรุปคชจ.64'!AA28</f>
        <v>4249937.35</v>
      </c>
      <c r="X27" s="127">
        <f>+'สรุปคชจ.64'!AB28</f>
        <v>0</v>
      </c>
      <c r="Y27" s="97">
        <f t="shared" si="2"/>
        <v>4254431.35</v>
      </c>
      <c r="Z27" s="136">
        <f t="shared" si="3"/>
        <v>23068000.89</v>
      </c>
      <c r="AA27" s="155"/>
      <c r="AB27" s="154"/>
      <c r="AC27" s="154"/>
      <c r="AD27" s="160"/>
    </row>
    <row r="28" spans="1:30" ht="21">
      <c r="A28" s="1" t="str">
        <f>+'จัดกลุ่มคชจ.64'!C28</f>
        <v>สำนักงานวิทยาเขตนครศรีธรรมราช (ไสใหญ่) </v>
      </c>
      <c r="B28" s="94">
        <f>+'จัดกลุ่มคชจ.64'!D28</f>
        <v>4893844.38</v>
      </c>
      <c r="C28" s="94">
        <f>+'จัดกลุ่มคชจ.64'!E28</f>
        <v>2781346.58</v>
      </c>
      <c r="D28" s="94">
        <f>+'จัดกลุ่มคชจ.64'!F28</f>
        <v>15400</v>
      </c>
      <c r="E28" s="94">
        <f>+'จัดกลุ่มคชจ.64'!G28</f>
        <v>0</v>
      </c>
      <c r="F28" s="94">
        <f>+'จัดกลุ่มคชจ.64'!H28</f>
        <v>0</v>
      </c>
      <c r="G28" s="94">
        <f>+'จัดกลุ่มคชจ.64'!I28</f>
        <v>0</v>
      </c>
      <c r="H28" s="94">
        <f>+'จัดกลุ่มคชจ.64'!J28</f>
        <v>0</v>
      </c>
      <c r="I28" s="94">
        <f>+'จัดกลุ่มคชจ.64'!K28</f>
        <v>4428</v>
      </c>
      <c r="J28" s="94">
        <f>+'จัดกลุ่มคชจ.64'!L28</f>
        <v>0</v>
      </c>
      <c r="K28" s="94">
        <f>+'จัดกลุ่มคชจ.64'!M28</f>
        <v>0</v>
      </c>
      <c r="L28" s="94">
        <f>+'จัดกลุ่มคชจ.64'!N28</f>
        <v>0</v>
      </c>
      <c r="M28" s="94">
        <f>+'จัดกลุ่มคชจ.64'!O28</f>
        <v>0</v>
      </c>
      <c r="N28" s="94">
        <f t="shared" si="0"/>
        <v>7695018.96</v>
      </c>
      <c r="O28" s="94">
        <f>+'จัดกลุ่มคชจ.64'!S28</f>
        <v>1098590.39</v>
      </c>
      <c r="P28" s="94">
        <f>+'จัดกลุ่มคชจ.64'!T28</f>
        <v>4877484.25</v>
      </c>
      <c r="Q28" s="94">
        <f>+'จัดกลุ่มคชจ.64'!U28</f>
        <v>0</v>
      </c>
      <c r="R28" s="94">
        <f>+'จัดกลุ่มคชจ.64'!V28</f>
        <v>8886165.58</v>
      </c>
      <c r="S28" s="94">
        <f>+'จัดกลุ่มคชจ.64'!W28</f>
        <v>5968788.710000001</v>
      </c>
      <c r="T28" s="94">
        <f>+'จัดกลุ่มคชจ.64'!X28</f>
        <v>0</v>
      </c>
      <c r="U28" s="94">
        <f t="shared" si="1"/>
        <v>20831028.93</v>
      </c>
      <c r="V28" s="127">
        <f>+'สรุปคชจ.64'!Z29</f>
        <v>0</v>
      </c>
      <c r="W28" s="127">
        <f>+'สรุปคชจ.64'!AA29</f>
        <v>0</v>
      </c>
      <c r="X28" s="127">
        <f>+'สรุปคชจ.64'!AB29</f>
        <v>0</v>
      </c>
      <c r="Y28" s="97">
        <f t="shared" si="2"/>
        <v>0</v>
      </c>
      <c r="Z28" s="136">
        <f t="shared" si="3"/>
        <v>28526047.89</v>
      </c>
      <c r="AA28" s="154"/>
      <c r="AB28" s="154"/>
      <c r="AC28" s="154"/>
      <c r="AD28" s="160"/>
    </row>
    <row r="29" spans="1:30" ht="21">
      <c r="A29" s="1" t="str">
        <f>+'จัดกลุ่มคชจ.64'!C29</f>
        <v>สำนักงานวิทยาเขตนครศรีธรรมราช (ทุ่งใหญ่) </v>
      </c>
      <c r="B29" s="94">
        <f>+'จัดกลุ่มคชจ.64'!D29</f>
        <v>7387514.77</v>
      </c>
      <c r="C29" s="94">
        <f>+'จัดกลุ่มคชจ.64'!E29</f>
        <v>1296321.3</v>
      </c>
      <c r="D29" s="94">
        <f>+'จัดกลุ่มคชจ.64'!F29</f>
        <v>28025</v>
      </c>
      <c r="E29" s="94">
        <f>+'จัดกลุ่มคชจ.64'!G29</f>
        <v>0</v>
      </c>
      <c r="F29" s="94">
        <f>+'จัดกลุ่มคชจ.64'!H29</f>
        <v>19862.4</v>
      </c>
      <c r="G29" s="94">
        <f>+'จัดกลุ่มคชจ.64'!I29</f>
        <v>0</v>
      </c>
      <c r="H29" s="94">
        <f>+'จัดกลุ่มคชจ.64'!J29</f>
        <v>50589</v>
      </c>
      <c r="I29" s="94">
        <f>+'จัดกลุ่มคชจ.64'!K29</f>
        <v>11880</v>
      </c>
      <c r="J29" s="94">
        <f>+'จัดกลุ่มคชจ.64'!L29</f>
        <v>0</v>
      </c>
      <c r="K29" s="94">
        <f>+'จัดกลุ่มคชจ.64'!M29</f>
        <v>0</v>
      </c>
      <c r="L29" s="94">
        <f>+'จัดกลุ่มคชจ.64'!N29</f>
        <v>0</v>
      </c>
      <c r="M29" s="94">
        <f>+'จัดกลุ่มคชจ.64'!O29</f>
        <v>0</v>
      </c>
      <c r="N29" s="94">
        <f t="shared" si="0"/>
        <v>8794192.47</v>
      </c>
      <c r="O29" s="94">
        <f>+'จัดกลุ่มคชจ.64'!S29</f>
        <v>1739597.99</v>
      </c>
      <c r="P29" s="94">
        <f>+'จัดกลุ่มคชจ.64'!T29</f>
        <v>1010584.99</v>
      </c>
      <c r="Q29" s="94">
        <f>+'จัดกลุ่มคชจ.64'!U29</f>
        <v>0</v>
      </c>
      <c r="R29" s="94">
        <f>+'จัดกลุ่มคชจ.64'!V29</f>
        <v>13675823.02</v>
      </c>
      <c r="S29" s="94">
        <f>+'จัดกลุ่มคชจ.64'!W29</f>
        <v>2388993.3</v>
      </c>
      <c r="T29" s="94">
        <f>+'จัดกลุ่มคชจ.64'!X29</f>
        <v>0</v>
      </c>
      <c r="U29" s="94">
        <f t="shared" si="1"/>
        <v>18814999.3</v>
      </c>
      <c r="V29" s="127">
        <f>+'สรุปคชจ.64'!Z30</f>
        <v>0</v>
      </c>
      <c r="W29" s="127">
        <f>+'สรุปคชจ.64'!AA30</f>
        <v>0</v>
      </c>
      <c r="X29" s="127">
        <f>+'สรุปคชจ.64'!AB30</f>
        <v>0</v>
      </c>
      <c r="Y29" s="97">
        <f t="shared" si="2"/>
        <v>0</v>
      </c>
      <c r="Z29" s="136">
        <f t="shared" si="3"/>
        <v>27609191.770000003</v>
      </c>
      <c r="AA29" s="154"/>
      <c r="AB29" s="154"/>
      <c r="AC29" s="154"/>
      <c r="AD29" s="160"/>
    </row>
    <row r="30" spans="1:30" ht="21">
      <c r="A30" s="1" t="str">
        <f>+'จัดกลุ่มคชจ.64'!C30</f>
        <v>สำนักงานวิทยาเขตตรัง </v>
      </c>
      <c r="B30" s="94">
        <f>+'จัดกลุ่มคชจ.64'!D30</f>
        <v>10996625.11</v>
      </c>
      <c r="C30" s="94">
        <f>+'จัดกลุ่มคชจ.64'!E30</f>
        <v>2757155.29</v>
      </c>
      <c r="D30" s="94">
        <f>+'จัดกลุ่มคชจ.64'!F30</f>
        <v>27362</v>
      </c>
      <c r="E30" s="94">
        <f>+'จัดกลุ่มคชจ.64'!G30</f>
        <v>20000</v>
      </c>
      <c r="F30" s="94">
        <f>+'จัดกลุ่มคชจ.64'!H30</f>
        <v>35800</v>
      </c>
      <c r="G30" s="94">
        <f>+'จัดกลุ่มคชจ.64'!I30</f>
        <v>0</v>
      </c>
      <c r="H30" s="94">
        <f>+'จัดกลุ่มคชจ.64'!J30</f>
        <v>62537.6</v>
      </c>
      <c r="I30" s="94">
        <f>+'จัดกลุ่มคชจ.64'!K30</f>
        <v>15000</v>
      </c>
      <c r="J30" s="94">
        <f>+'จัดกลุ่มคชจ.64'!L30</f>
        <v>0</v>
      </c>
      <c r="K30" s="94">
        <f>+'จัดกลุ่มคชจ.64'!M30</f>
        <v>0</v>
      </c>
      <c r="L30" s="94">
        <f>+'จัดกลุ่มคชจ.64'!N30</f>
        <v>0</v>
      </c>
      <c r="M30" s="94">
        <f>+'จัดกลุ่มคชจ.64'!O30</f>
        <v>0</v>
      </c>
      <c r="N30" s="94">
        <f t="shared" si="0"/>
        <v>13914479.999999998</v>
      </c>
      <c r="O30" s="94">
        <f>+'จัดกลุ่มคชจ.64'!S30</f>
        <v>2893046.2</v>
      </c>
      <c r="P30" s="94">
        <f>+'จัดกลุ่มคชจ.64'!T30</f>
        <v>3247427.44</v>
      </c>
      <c r="Q30" s="94">
        <f>+'จัดกลุ่มคชจ.64'!U30</f>
        <v>0</v>
      </c>
      <c r="R30" s="94">
        <f>+'จัดกลุ่มคชจ.64'!V30</f>
        <v>44253555.37</v>
      </c>
      <c r="S30" s="94">
        <f>+'จัดกลุ่มคชจ.64'!W30</f>
        <v>11028911.22</v>
      </c>
      <c r="T30" s="94">
        <f>+'จัดกลุ่มคชจ.64'!X30</f>
        <v>0</v>
      </c>
      <c r="U30" s="94">
        <f t="shared" si="1"/>
        <v>61422940.23</v>
      </c>
      <c r="V30" s="127">
        <f>+'สรุปคชจ.64'!Z31</f>
        <v>0</v>
      </c>
      <c r="W30" s="127">
        <f>+'สรุปคชจ.64'!AA31</f>
        <v>0</v>
      </c>
      <c r="X30" s="127">
        <f>+'สรุปคชจ.64'!AB31</f>
        <v>0</v>
      </c>
      <c r="Y30" s="97">
        <f t="shared" si="2"/>
        <v>0</v>
      </c>
      <c r="Z30" s="136">
        <f t="shared" si="3"/>
        <v>75337420.22999999</v>
      </c>
      <c r="AA30" s="154"/>
      <c r="AB30" s="154"/>
      <c r="AC30" s="154"/>
      <c r="AD30" s="160"/>
    </row>
    <row r="31" spans="1:30" ht="21">
      <c r="A31" s="1" t="str">
        <f>+'จัดกลุ่มคชจ.64'!C31</f>
        <v>สถาบันวิจัยและพัฒนา  (ตรัง)</v>
      </c>
      <c r="B31" s="94">
        <f>+'จัดกลุ่มคชจ.64'!D31</f>
        <v>3036280.64</v>
      </c>
      <c r="C31" s="94">
        <f>+'จัดกลุ่มคชจ.64'!E31</f>
        <v>324104</v>
      </c>
      <c r="D31" s="94">
        <f>+'จัดกลุ่มคชจ.64'!F31</f>
        <v>3300</v>
      </c>
      <c r="E31" s="94">
        <f>+'จัดกลุ่มคชจ.64'!G31</f>
        <v>0</v>
      </c>
      <c r="F31" s="94">
        <f>+'จัดกลุ่มคชจ.64'!H31</f>
        <v>542667.4</v>
      </c>
      <c r="G31" s="94">
        <f>+'จัดกลุ่มคชจ.64'!I31</f>
        <v>0</v>
      </c>
      <c r="H31" s="94">
        <f>+'จัดกลุ่มคชจ.64'!J31</f>
        <v>43125</v>
      </c>
      <c r="I31" s="94">
        <f>+'จัดกลุ่มคชจ.64'!K31</f>
        <v>0</v>
      </c>
      <c r="J31" s="94">
        <f>+'จัดกลุ่มคชจ.64'!L31</f>
        <v>0</v>
      </c>
      <c r="K31" s="94">
        <f>+'จัดกลุ่มคชจ.64'!M31</f>
        <v>0</v>
      </c>
      <c r="L31" s="94">
        <f>+'จัดกลุ่มคชจ.64'!N31</f>
        <v>0</v>
      </c>
      <c r="M31" s="94">
        <f>+'จัดกลุ่มคชจ.64'!O31</f>
        <v>0</v>
      </c>
      <c r="N31" s="94">
        <f t="shared" si="0"/>
        <v>3949477.04</v>
      </c>
      <c r="O31" s="94">
        <f>+'จัดกลุ่มคชจ.64'!S31</f>
        <v>936749</v>
      </c>
      <c r="P31" s="94">
        <f>+'จัดกลุ่มคชจ.64'!T31</f>
        <v>496795.15</v>
      </c>
      <c r="Q31" s="94">
        <f>+'จัดกลุ่มคชจ.64'!U31</f>
        <v>0</v>
      </c>
      <c r="R31" s="94">
        <f>+'จัดกลุ่มคชจ.64'!V31</f>
        <v>63430.37</v>
      </c>
      <c r="S31" s="94">
        <f>+'จัดกลุ่มคชจ.64'!W31</f>
        <v>205234.05</v>
      </c>
      <c r="T31" s="94">
        <f>+'จัดกลุ่มคชจ.64'!X31</f>
        <v>0</v>
      </c>
      <c r="U31" s="94">
        <f t="shared" si="1"/>
        <v>1702208.57</v>
      </c>
      <c r="V31" s="127">
        <f>+'สรุปคชจ.64'!Z32</f>
        <v>0</v>
      </c>
      <c r="W31" s="127">
        <f>+'สรุปคชจ.64'!AA32</f>
        <v>3281979.13</v>
      </c>
      <c r="X31" s="127">
        <f>+'สรุปคชจ.64'!AB32</f>
        <v>0</v>
      </c>
      <c r="Y31" s="97">
        <f t="shared" si="2"/>
        <v>3281979.13</v>
      </c>
      <c r="Z31" s="136">
        <f t="shared" si="3"/>
        <v>8933664.74</v>
      </c>
      <c r="AA31" s="154"/>
      <c r="AB31" s="154"/>
      <c r="AC31" s="154"/>
      <c r="AD31" s="160"/>
    </row>
    <row r="32" spans="1:30" s="5" customFormat="1" ht="21.75" thickBot="1">
      <c r="A32" s="1" t="str">
        <f>+'จัดกลุ่มคชจ.64'!C32</f>
        <v>สถาบันทรัพยากรธรรมชาติและสิ่งแวดล้อม (ตรัง)</v>
      </c>
      <c r="B32" s="94">
        <f>+'จัดกลุ่มคชจ.64'!D32</f>
        <v>5010873.09</v>
      </c>
      <c r="C32" s="94">
        <f>+'จัดกลุ่มคชจ.64'!E32</f>
        <v>268532.26</v>
      </c>
      <c r="D32" s="94">
        <f>+'จัดกลุ่มคชจ.64'!F32</f>
        <v>0</v>
      </c>
      <c r="E32" s="94">
        <f>+'จัดกลุ่มคชจ.64'!G32</f>
        <v>0</v>
      </c>
      <c r="F32" s="94">
        <f>+'จัดกลุ่มคชจ.64'!H32</f>
        <v>0</v>
      </c>
      <c r="G32" s="94">
        <f>+'จัดกลุ่มคชจ.64'!I32</f>
        <v>0</v>
      </c>
      <c r="H32" s="94">
        <f>+'จัดกลุ่มคชจ.64'!J32</f>
        <v>0</v>
      </c>
      <c r="I32" s="94">
        <f>+'จัดกลุ่มคชจ.64'!K32</f>
        <v>23900</v>
      </c>
      <c r="J32" s="94">
        <f>+'จัดกลุ่มคชจ.64'!L32</f>
        <v>0</v>
      </c>
      <c r="K32" s="94">
        <f>+'จัดกลุ่มคชจ.64'!M32</f>
        <v>0</v>
      </c>
      <c r="L32" s="94">
        <f>+'จัดกลุ่มคชจ.64'!N32</f>
        <v>0</v>
      </c>
      <c r="M32" s="94">
        <f>+'จัดกลุ่มคชจ.64'!O32</f>
        <v>0</v>
      </c>
      <c r="N32" s="94">
        <f t="shared" si="0"/>
        <v>5303305.35</v>
      </c>
      <c r="O32" s="94">
        <f>+'จัดกลุ่มคชจ.64'!S32</f>
        <v>93000</v>
      </c>
      <c r="P32" s="94">
        <f>+'จัดกลุ่มคชจ.64'!T32</f>
        <v>2071735.6</v>
      </c>
      <c r="Q32" s="94">
        <f>+'จัดกลุ่มคชจ.64'!U32</f>
        <v>0</v>
      </c>
      <c r="R32" s="94">
        <f>+'จัดกลุ่มคชจ.64'!V32</f>
        <v>1251440.76</v>
      </c>
      <c r="S32" s="94">
        <f>+'จัดกลุ่มคชจ.64'!W32</f>
        <v>82280.66</v>
      </c>
      <c r="T32" s="94">
        <f>+'จัดกลุ่มคชจ.64'!X32</f>
        <v>0</v>
      </c>
      <c r="U32" s="94">
        <f t="shared" si="1"/>
        <v>3498457.0200000005</v>
      </c>
      <c r="V32" s="127">
        <f>+'สรุปคชจ.64'!Z33</f>
        <v>0</v>
      </c>
      <c r="W32" s="127">
        <f>+'สรุปคชจ.64'!AA33</f>
        <v>0</v>
      </c>
      <c r="X32" s="127">
        <f>+'สรุปคชจ.64'!AB33</f>
        <v>0</v>
      </c>
      <c r="Y32" s="97">
        <f t="shared" si="2"/>
        <v>0</v>
      </c>
      <c r="Z32" s="136">
        <f t="shared" si="3"/>
        <v>8801762.370000001</v>
      </c>
      <c r="AA32" s="154"/>
      <c r="AB32" s="154"/>
      <c r="AC32" s="154"/>
      <c r="AD32" s="160"/>
    </row>
    <row r="33" spans="1:30" s="5" customFormat="1" ht="21.75" thickBot="1">
      <c r="A33" s="84" t="s">
        <v>14</v>
      </c>
      <c r="B33" s="94">
        <f>+'จัดกลุ่มคชจ.64'!D33</f>
        <v>293443346.11999995</v>
      </c>
      <c r="C33" s="94">
        <f>+'จัดกลุ่มคชจ.64'!E33</f>
        <v>24536830.660000004</v>
      </c>
      <c r="D33" s="94">
        <f>+'จัดกลุ่มคชจ.64'!F33</f>
        <v>10375866.93</v>
      </c>
      <c r="E33" s="94">
        <f>+'จัดกลุ่มคชจ.64'!G33</f>
        <v>765123.29</v>
      </c>
      <c r="F33" s="94">
        <f>+'จัดกลุ่มคชจ.64'!H33</f>
        <v>13932682.860000001</v>
      </c>
      <c r="G33" s="94">
        <f>+'จัดกลุ่มคชจ.64'!I33</f>
        <v>0</v>
      </c>
      <c r="H33" s="94">
        <f>+'จัดกลุ่มคชจ.64'!J33</f>
        <v>929655</v>
      </c>
      <c r="I33" s="94">
        <f>+'จัดกลุ่มคชจ.64'!K33</f>
        <v>79642</v>
      </c>
      <c r="J33" s="94">
        <f>+'จัดกลุ่มคชจ.64'!L33</f>
        <v>0</v>
      </c>
      <c r="K33" s="94">
        <f>+'จัดกลุ่มคชจ.64'!M33</f>
        <v>0</v>
      </c>
      <c r="L33" s="94">
        <f>+'จัดกลุ่มคชจ.64'!N33</f>
        <v>0</v>
      </c>
      <c r="M33" s="94">
        <f>+'จัดกลุ่มคชจ.64'!O33</f>
        <v>0</v>
      </c>
      <c r="N33" s="94">
        <f t="shared" si="0"/>
        <v>344063146.86</v>
      </c>
      <c r="O33" s="94">
        <f>+'จัดกลุ่มคชจ.64'!S33</f>
        <v>46375873.910000004</v>
      </c>
      <c r="P33" s="94">
        <f>+'จัดกลุ่มคชจ.64'!T33</f>
        <v>49985063.13999999</v>
      </c>
      <c r="Q33" s="94">
        <f>+'จัดกลุ่มคชจ.64'!U33</f>
        <v>0</v>
      </c>
      <c r="R33" s="94">
        <f>+'จัดกลุ่มคชจ.64'!V33</f>
        <v>85825102.34000002</v>
      </c>
      <c r="S33" s="94">
        <f>+'จัดกลุ่มคชจ.64'!W33</f>
        <v>28816185.980000004</v>
      </c>
      <c r="T33" s="94">
        <f>+'จัดกลุ่มคชจ.64'!X33</f>
        <v>0</v>
      </c>
      <c r="U33" s="94">
        <f t="shared" si="1"/>
        <v>211002225.37</v>
      </c>
      <c r="V33" s="127">
        <f>+'สรุปคชจ.64'!Z34</f>
        <v>7584350.89</v>
      </c>
      <c r="W33" s="127">
        <f>+'สรุปคชจ.64'!AA34</f>
        <v>10340906.48</v>
      </c>
      <c r="X33" s="127">
        <f>+'สรุปคชจ.64'!AB34</f>
        <v>0</v>
      </c>
      <c r="Y33" s="97">
        <f t="shared" si="2"/>
        <v>17925257.37</v>
      </c>
      <c r="Z33" s="136">
        <f t="shared" si="3"/>
        <v>572990629.6</v>
      </c>
      <c r="AA33" s="151">
        <f>SUM(AA26:AA32)</f>
        <v>0</v>
      </c>
      <c r="AB33" s="151">
        <f>SUM(AB26:AB32)</f>
        <v>0</v>
      </c>
      <c r="AC33" s="151">
        <f>SUM(AC26:AC32)</f>
        <v>0</v>
      </c>
      <c r="AD33" s="157">
        <f>SUM(AD26:AD32)</f>
        <v>0</v>
      </c>
    </row>
    <row r="34" spans="1:30" ht="22.5" thickBot="1" thickTop="1">
      <c r="A34" s="78" t="s">
        <v>3</v>
      </c>
      <c r="B34" s="94">
        <f>+'จัดกลุ่มคชจ.64'!D34</f>
        <v>606748100.6099999</v>
      </c>
      <c r="C34" s="94">
        <f>+'จัดกลุ่มคชจ.64'!E34</f>
        <v>63876731.45</v>
      </c>
      <c r="D34" s="94">
        <f>+'จัดกลุ่มคชจ.64'!F34</f>
        <v>12012500.03</v>
      </c>
      <c r="E34" s="94">
        <f>+'จัดกลุ่มคชจ.64'!G34</f>
        <v>3796132.72</v>
      </c>
      <c r="F34" s="94">
        <f>+'จัดกลุ่มคชจ.64'!H34</f>
        <v>17739361.86</v>
      </c>
      <c r="G34" s="94">
        <f>+'จัดกลุ่มคชจ.64'!I34</f>
        <v>0</v>
      </c>
      <c r="H34" s="94">
        <f>+'จัดกลุ่มคชจ.64'!J34</f>
        <v>1196514.42</v>
      </c>
      <c r="I34" s="94">
        <f>+'จัดกลุ่มคชจ.64'!K34</f>
        <v>964926.44</v>
      </c>
      <c r="J34" s="94">
        <f>+'จัดกลุ่มคชจ.64'!L34</f>
        <v>0</v>
      </c>
      <c r="K34" s="94">
        <f>+'จัดกลุ่มคชจ.64'!M34</f>
        <v>0</v>
      </c>
      <c r="L34" s="94">
        <f>+'จัดกลุ่มคชจ.64'!N34</f>
        <v>6959754</v>
      </c>
      <c r="M34" s="94">
        <f>+'จัดกลุ่มคชจ.64'!O34</f>
        <v>0</v>
      </c>
      <c r="N34" s="94">
        <f t="shared" si="0"/>
        <v>713294021.53</v>
      </c>
      <c r="O34" s="94">
        <f>+'จัดกลุ่มคชจ.64'!S34</f>
        <v>70102912.85000001</v>
      </c>
      <c r="P34" s="94">
        <f>+'จัดกลุ่มคชจ.64'!T34</f>
        <v>106181488.46000001</v>
      </c>
      <c r="Q34" s="94">
        <f>+'จัดกลุ่มคชจ.64'!U34</f>
        <v>0</v>
      </c>
      <c r="R34" s="94">
        <f>+'จัดกลุ่มคชจ.64'!V34</f>
        <v>259079591.01999998</v>
      </c>
      <c r="S34" s="94">
        <f>+'จัดกลุ่มคชจ.64'!W34</f>
        <v>52707269.660000004</v>
      </c>
      <c r="T34" s="94">
        <f>+'จัดกลุ่มคชจ.64'!X34</f>
        <v>0</v>
      </c>
      <c r="U34" s="94">
        <f t="shared" si="1"/>
        <v>488071261.99</v>
      </c>
      <c r="V34" s="127">
        <f>+'สรุปคชจ.64'!Z35</f>
        <v>7636946.89</v>
      </c>
      <c r="W34" s="127">
        <f>+'สรุปคชจ.64'!AA35</f>
        <v>16985058.48</v>
      </c>
      <c r="X34" s="127">
        <f>+'สรุปคชจ.64'!AB35</f>
        <v>0</v>
      </c>
      <c r="Y34" s="97">
        <f t="shared" si="2"/>
        <v>24622005.37</v>
      </c>
      <c r="Z34" s="143">
        <f t="shared" si="3"/>
        <v>1225987288.8899999</v>
      </c>
      <c r="AA34" s="152">
        <f>AA33+AA24</f>
        <v>13556.759999999998</v>
      </c>
      <c r="AB34" s="152">
        <f>AB33+AB24</f>
        <v>344063146.86</v>
      </c>
      <c r="AC34" s="152">
        <f>AC33+AC24</f>
        <v>211002225.37000003</v>
      </c>
      <c r="AD34" s="158">
        <f>AD33+AD24</f>
        <v>17925257.37</v>
      </c>
    </row>
    <row r="35" spans="1:34" s="26" customFormat="1" ht="19.5" customHeight="1" hidden="1" thickTop="1">
      <c r="A35" s="43" t="s">
        <v>126</v>
      </c>
      <c r="B35" s="11">
        <f>+'จัดกลุ่มคชจ.64'!D35</f>
        <v>0</v>
      </c>
      <c r="C35" s="11">
        <f>+'จัดกลุ่มคชจ.64'!E35</f>
        <v>0</v>
      </c>
      <c r="D35" s="11">
        <f>+'จัดกลุ่มคชจ.64'!F35</f>
        <v>0</v>
      </c>
      <c r="E35" s="27"/>
      <c r="F35" s="27"/>
      <c r="G35" s="27"/>
      <c r="H35" s="27"/>
      <c r="I35" s="27"/>
      <c r="J35" s="27"/>
      <c r="K35" s="74" t="e">
        <f>+'สรุปคชจ.64'!#REF!</f>
        <v>#REF!</v>
      </c>
      <c r="L35" s="74" t="e">
        <f>+'สรุปคชจ.64'!#REF!</f>
        <v>#REF!</v>
      </c>
      <c r="M35" s="74" t="e">
        <f>+'สรุปคชจ.64'!#REF!</f>
        <v>#REF!</v>
      </c>
      <c r="N35" s="27"/>
      <c r="O35" s="27"/>
      <c r="P35" s="27"/>
      <c r="Q35" s="27"/>
      <c r="R35" s="74" t="e">
        <f>+'สรุปคชจ.64'!#REF!</f>
        <v>#REF!</v>
      </c>
      <c r="S35" s="74" t="e">
        <f>+'สรุปคชจ.64'!#REF!</f>
        <v>#REF!</v>
      </c>
      <c r="T35" s="74" t="e">
        <f>+'สรุปคชจ.64'!#REF!</f>
        <v>#REF!</v>
      </c>
      <c r="U35" s="27"/>
      <c r="V35" s="27"/>
      <c r="W35" s="27"/>
      <c r="X35" s="27"/>
      <c r="Y35" s="27"/>
      <c r="Z35" s="27"/>
      <c r="AA35" s="52"/>
      <c r="AB35" s="27"/>
      <c r="AC35" s="27"/>
      <c r="AD35" s="27"/>
      <c r="AE35" s="52"/>
      <c r="AF35" s="52"/>
      <c r="AG35" s="52"/>
      <c r="AH35" s="46"/>
    </row>
    <row r="36" spans="1:20" ht="19.5" customHeight="1" hidden="1" thickTop="1">
      <c r="A36" s="40" t="s">
        <v>21</v>
      </c>
      <c r="B36" s="11">
        <f>+'จัดกลุ่มคชจ.64'!D36</f>
        <v>0</v>
      </c>
      <c r="C36" s="11">
        <f>+'จัดกลุ่มคชจ.64'!E36</f>
        <v>0</v>
      </c>
      <c r="D36" s="11">
        <f>+'จัดกลุ่มคชจ.64'!F36</f>
        <v>0</v>
      </c>
      <c r="K36" s="11" t="e">
        <f>+'สรุปคชจ.64'!#REF!</f>
        <v>#REF!</v>
      </c>
      <c r="L36" s="11" t="e">
        <f>+'สรุปคชจ.64'!#REF!</f>
        <v>#REF!</v>
      </c>
      <c r="M36" s="11" t="e">
        <f>+'สรุปคชจ.64'!#REF!</f>
        <v>#REF!</v>
      </c>
      <c r="R36" s="11" t="e">
        <f>+'สรุปคชจ.64'!#REF!</f>
        <v>#REF!</v>
      </c>
      <c r="S36" s="11" t="e">
        <f>+'สรุปคชจ.64'!#REF!</f>
        <v>#REF!</v>
      </c>
      <c r="T36" s="11" t="e">
        <f>+'สรุปคชจ.64'!#REF!</f>
        <v>#REF!</v>
      </c>
    </row>
    <row r="37" spans="1:20" ht="19.5" customHeight="1" hidden="1" thickTop="1">
      <c r="A37" s="40" t="s">
        <v>22</v>
      </c>
      <c r="B37" s="11">
        <f>+'จัดกลุ่มคชจ.64'!D37</f>
        <v>0</v>
      </c>
      <c r="C37" s="11">
        <f>+'จัดกลุ่มคชจ.64'!E37</f>
        <v>355170.34</v>
      </c>
      <c r="D37" s="11">
        <f>+'จัดกลุ่มคชจ.64'!F37</f>
        <v>0</v>
      </c>
      <c r="K37" s="11" t="e">
        <f>+'สรุปคชจ.64'!#REF!</f>
        <v>#REF!</v>
      </c>
      <c r="L37" s="11" t="e">
        <f>+'สรุปคชจ.64'!#REF!</f>
        <v>#REF!</v>
      </c>
      <c r="M37" s="11" t="e">
        <f>+'สรุปคชจ.64'!#REF!</f>
        <v>#REF!</v>
      </c>
      <c r="R37" s="11" t="e">
        <f>+'สรุปคชจ.64'!#REF!</f>
        <v>#REF!</v>
      </c>
      <c r="S37" s="11" t="e">
        <f>+'สรุปคชจ.64'!#REF!</f>
        <v>#REF!</v>
      </c>
      <c r="T37" s="11" t="e">
        <f>+'สรุปคชจ.64'!#REF!</f>
        <v>#REF!</v>
      </c>
    </row>
    <row r="38" spans="1:20" ht="19.5" customHeight="1" hidden="1" thickTop="1">
      <c r="A38" s="40" t="s">
        <v>23</v>
      </c>
      <c r="B38" s="11">
        <f>+'จัดกลุ่มคชจ.64'!D38</f>
        <v>0</v>
      </c>
      <c r="C38" s="11">
        <f>+'จัดกลุ่มคชจ.64'!E38</f>
        <v>0</v>
      </c>
      <c r="D38" s="11">
        <f>+'จัดกลุ่มคชจ.64'!F38</f>
        <v>0</v>
      </c>
      <c r="K38" s="11" t="e">
        <f>+'สรุปคชจ.64'!#REF!</f>
        <v>#REF!</v>
      </c>
      <c r="L38" s="11" t="e">
        <f>+'สรุปคชจ.64'!#REF!</f>
        <v>#REF!</v>
      </c>
      <c r="M38" s="11" t="e">
        <f>+'สรุปคชจ.64'!#REF!</f>
        <v>#REF!</v>
      </c>
      <c r="R38" s="11" t="e">
        <f>+'สรุปคชจ.64'!#REF!</f>
        <v>#REF!</v>
      </c>
      <c r="S38" s="11" t="e">
        <f>+'สรุปคชจ.64'!#REF!</f>
        <v>#REF!</v>
      </c>
      <c r="T38" s="11" t="e">
        <f>+'สรุปคชจ.64'!#REF!</f>
        <v>#REF!</v>
      </c>
    </row>
    <row r="39" spans="1:20" ht="19.5" customHeight="1" hidden="1" thickTop="1">
      <c r="A39" s="40" t="s">
        <v>161</v>
      </c>
      <c r="B39" s="11">
        <f>+'จัดกลุ่มคชจ.64'!D39</f>
        <v>0</v>
      </c>
      <c r="C39" s="11">
        <f>+'จัดกลุ่มคชจ.64'!E39</f>
        <v>0</v>
      </c>
      <c r="D39" s="11">
        <f>+'จัดกลุ่มคชจ.64'!F39</f>
        <v>0</v>
      </c>
      <c r="K39" s="11" t="e">
        <f>+'สรุปคชจ.64'!#REF!</f>
        <v>#REF!</v>
      </c>
      <c r="L39" s="11" t="e">
        <f>+'สรุปคชจ.64'!#REF!</f>
        <v>#REF!</v>
      </c>
      <c r="M39" s="11" t="e">
        <f>+'สรุปคชจ.64'!#REF!</f>
        <v>#REF!</v>
      </c>
      <c r="R39" s="11" t="e">
        <f>+'สรุปคชจ.64'!#REF!</f>
        <v>#REF!</v>
      </c>
      <c r="S39" s="11" t="e">
        <f>+'สรุปคชจ.64'!#REF!</f>
        <v>#REF!</v>
      </c>
      <c r="T39" s="11" t="e">
        <f>+'สรุปคชจ.64'!#REF!</f>
        <v>#REF!</v>
      </c>
    </row>
    <row r="40" spans="1:20" ht="19.5" customHeight="1" hidden="1" thickTop="1">
      <c r="A40" s="40" t="s">
        <v>162</v>
      </c>
      <c r="B40" s="11">
        <f>+'จัดกลุ่มคชจ.64'!D40</f>
        <v>0</v>
      </c>
      <c r="C40" s="11">
        <f>+'จัดกลุ่มคชจ.64'!E40</f>
        <v>171675</v>
      </c>
      <c r="D40" s="11">
        <f>+'จัดกลุ่มคชจ.64'!F40</f>
        <v>0</v>
      </c>
      <c r="K40" s="11" t="e">
        <f>+'สรุปคชจ.64'!#REF!</f>
        <v>#REF!</v>
      </c>
      <c r="L40" s="11" t="e">
        <f>+'สรุปคชจ.64'!#REF!</f>
        <v>#REF!</v>
      </c>
      <c r="M40" s="11" t="e">
        <f>+'สรุปคชจ.64'!#REF!</f>
        <v>#REF!</v>
      </c>
      <c r="R40" s="11" t="e">
        <f>+'สรุปคชจ.64'!#REF!</f>
        <v>#REF!</v>
      </c>
      <c r="S40" s="11" t="e">
        <f>+'สรุปคชจ.64'!#REF!</f>
        <v>#REF!</v>
      </c>
      <c r="T40" s="11" t="e">
        <f>+'สรุปคชจ.64'!#REF!</f>
        <v>#REF!</v>
      </c>
    </row>
    <row r="41" spans="1:20" ht="19.5" customHeight="1" hidden="1" thickTop="1">
      <c r="A41" s="40" t="s">
        <v>24</v>
      </c>
      <c r="B41" s="11">
        <f>+'จัดกลุ่มคชจ.64'!D41</f>
        <v>0</v>
      </c>
      <c r="C41" s="11">
        <f>+'จัดกลุ่มคชจ.64'!E41</f>
        <v>2829056.84</v>
      </c>
      <c r="D41" s="11">
        <f>+'จัดกลุ่มคชจ.64'!F41</f>
        <v>0</v>
      </c>
      <c r="K41" s="11" t="e">
        <f>+'สรุปคชจ.64'!#REF!</f>
        <v>#REF!</v>
      </c>
      <c r="L41" s="11" t="e">
        <f>+'สรุปคชจ.64'!#REF!</f>
        <v>#REF!</v>
      </c>
      <c r="M41" s="11" t="e">
        <f>+'สรุปคชจ.64'!#REF!</f>
        <v>#REF!</v>
      </c>
      <c r="R41" s="11" t="e">
        <f>+'สรุปคชจ.64'!#REF!</f>
        <v>#REF!</v>
      </c>
      <c r="S41" s="11" t="e">
        <f>+'สรุปคชจ.64'!#REF!</f>
        <v>#REF!</v>
      </c>
      <c r="T41" s="11" t="e">
        <f>+'สรุปคชจ.64'!#REF!</f>
        <v>#REF!</v>
      </c>
    </row>
    <row r="42" spans="1:20" ht="19.5" customHeight="1" hidden="1" thickTop="1">
      <c r="A42" s="12" t="s">
        <v>187</v>
      </c>
      <c r="B42" s="11">
        <f>+'จัดกลุ่มคชจ.64'!D42</f>
        <v>0</v>
      </c>
      <c r="C42" s="11">
        <f>+'จัดกลุ่มคชจ.64'!E42</f>
        <v>1547999.62</v>
      </c>
      <c r="D42" s="11">
        <f>+'จัดกลุ่มคชจ.64'!F42</f>
        <v>0</v>
      </c>
      <c r="K42" s="11" t="e">
        <f>+'สรุปคชจ.64'!#REF!</f>
        <v>#REF!</v>
      </c>
      <c r="L42" s="11" t="e">
        <f>+'สรุปคชจ.64'!#REF!</f>
        <v>#REF!</v>
      </c>
      <c r="M42" s="11" t="e">
        <f>+'สรุปคชจ.64'!#REF!</f>
        <v>#REF!</v>
      </c>
      <c r="R42" s="11" t="e">
        <f>+'สรุปคชจ.64'!#REF!</f>
        <v>#REF!</v>
      </c>
      <c r="S42" s="11" t="e">
        <f>+'สรุปคชจ.64'!#REF!</f>
        <v>#REF!</v>
      </c>
      <c r="T42" s="11" t="e">
        <f>+'สรุปคชจ.64'!#REF!</f>
        <v>#REF!</v>
      </c>
    </row>
    <row r="43" spans="1:20" ht="19.5" customHeight="1" hidden="1" thickTop="1">
      <c r="A43" s="12" t="s">
        <v>188</v>
      </c>
      <c r="B43" s="11">
        <f>+'จัดกลุ่มคชจ.64'!D43</f>
        <v>0</v>
      </c>
      <c r="C43" s="11">
        <f>+'จัดกลุ่มคชจ.64'!E43</f>
        <v>404074</v>
      </c>
      <c r="D43" s="11">
        <f>+'จัดกลุ่มคชจ.64'!F43</f>
        <v>0</v>
      </c>
      <c r="K43" s="11" t="e">
        <f>+'สรุปคชจ.64'!#REF!</f>
        <v>#REF!</v>
      </c>
      <c r="L43" s="11" t="e">
        <f>+'สรุปคชจ.64'!#REF!</f>
        <v>#REF!</v>
      </c>
      <c r="M43" s="11" t="e">
        <f>+'สรุปคชจ.64'!#REF!</f>
        <v>#REF!</v>
      </c>
      <c r="R43" s="11" t="e">
        <f>+'สรุปคชจ.64'!#REF!</f>
        <v>#REF!</v>
      </c>
      <c r="S43" s="11" t="e">
        <f>+'สรุปคชจ.64'!#REF!</f>
        <v>#REF!</v>
      </c>
      <c r="T43" s="11" t="e">
        <f>+'สรุปคชจ.64'!#REF!</f>
        <v>#REF!</v>
      </c>
    </row>
    <row r="44" spans="1:20" ht="19.5" customHeight="1" hidden="1" thickTop="1">
      <c r="A44" s="40" t="s">
        <v>189</v>
      </c>
      <c r="B44" s="11">
        <f>+'จัดกลุ่มคชจ.64'!D44</f>
        <v>0</v>
      </c>
      <c r="C44" s="11">
        <f>+'จัดกลุ่มคชจ.64'!E44</f>
        <v>439660</v>
      </c>
      <c r="D44" s="11">
        <f>+'จัดกลุ่มคชจ.64'!F44</f>
        <v>0</v>
      </c>
      <c r="K44" s="11" t="e">
        <f>+'สรุปคชจ.64'!#REF!</f>
        <v>#REF!</v>
      </c>
      <c r="L44" s="11" t="e">
        <f>+'สรุปคชจ.64'!#REF!</f>
        <v>#REF!</v>
      </c>
      <c r="M44" s="11" t="e">
        <f>+'สรุปคชจ.64'!#REF!</f>
        <v>#REF!</v>
      </c>
      <c r="R44" s="11" t="e">
        <f>+'สรุปคชจ.64'!#REF!</f>
        <v>#REF!</v>
      </c>
      <c r="S44" s="11" t="e">
        <f>+'สรุปคชจ.64'!#REF!</f>
        <v>#REF!</v>
      </c>
      <c r="T44" s="11" t="e">
        <f>+'สรุปคชจ.64'!#REF!</f>
        <v>#REF!</v>
      </c>
    </row>
    <row r="45" spans="1:20" ht="19.5" customHeight="1" hidden="1" thickTop="1">
      <c r="A45" s="41" t="s">
        <v>190</v>
      </c>
      <c r="B45" s="11">
        <f>+'จัดกลุ่มคชจ.64'!D45</f>
        <v>0</v>
      </c>
      <c r="C45" s="11">
        <f>+'จัดกลุ่มคชจ.64'!E45</f>
        <v>0</v>
      </c>
      <c r="D45" s="11">
        <f>+'จัดกลุ่มคชจ.64'!F45</f>
        <v>0</v>
      </c>
      <c r="K45" s="11" t="e">
        <f>+'สรุปคชจ.64'!#REF!</f>
        <v>#REF!</v>
      </c>
      <c r="L45" s="11" t="e">
        <f>+'สรุปคชจ.64'!#REF!</f>
        <v>#REF!</v>
      </c>
      <c r="M45" s="11" t="e">
        <f>+'สรุปคชจ.64'!#REF!</f>
        <v>#REF!</v>
      </c>
      <c r="R45" s="11" t="e">
        <f>+'สรุปคชจ.64'!#REF!</f>
        <v>#REF!</v>
      </c>
      <c r="S45" s="11" t="e">
        <f>+'สรุปคชจ.64'!#REF!</f>
        <v>#REF!</v>
      </c>
      <c r="T45" s="11" t="e">
        <f>+'สรุปคชจ.64'!#REF!</f>
        <v>#REF!</v>
      </c>
    </row>
    <row r="46" spans="1:20" ht="20.25" customHeight="1" hidden="1" thickBot="1" thickTop="1">
      <c r="A46" s="13" t="s">
        <v>14</v>
      </c>
      <c r="B46" s="11">
        <f>+'จัดกลุ่มคชจ.64'!D46</f>
        <v>0</v>
      </c>
      <c r="C46" s="11">
        <f>+'จัดกลุ่มคชจ.64'!E46</f>
        <v>353787.55</v>
      </c>
      <c r="D46" s="11">
        <f>+'จัดกลุ่มคชจ.64'!F46</f>
        <v>0</v>
      </c>
      <c r="K46" s="11" t="e">
        <f>+'สรุปคชจ.64'!#REF!</f>
        <v>#REF!</v>
      </c>
      <c r="L46" s="11" t="e">
        <f>+'สรุปคชจ.64'!#REF!</f>
        <v>#REF!</v>
      </c>
      <c r="M46" s="11" t="e">
        <f>+'สรุปคชจ.64'!#REF!</f>
        <v>#REF!</v>
      </c>
      <c r="R46" s="11" t="e">
        <f>+'สรุปคชจ.64'!#REF!</f>
        <v>#REF!</v>
      </c>
      <c r="S46" s="11" t="e">
        <f>+'สรุปคชจ.64'!#REF!</f>
        <v>#REF!</v>
      </c>
      <c r="T46" s="11" t="e">
        <f>+'สรุปคชจ.64'!#REF!</f>
        <v>#REF!</v>
      </c>
    </row>
    <row r="47" spans="1:20" ht="20.25" customHeight="1" hidden="1" thickBot="1" thickTop="1">
      <c r="A47" s="13" t="s">
        <v>25</v>
      </c>
      <c r="B47" s="11">
        <f>+'จัดกลุ่มคชจ.64'!D47</f>
        <v>0</v>
      </c>
      <c r="C47" s="11">
        <f>+'จัดกลุ่มคชจ.64'!E47</f>
        <v>6101423.35</v>
      </c>
      <c r="D47" s="11">
        <f>+'จัดกลุ่มคชจ.64'!F47</f>
        <v>0</v>
      </c>
      <c r="K47" s="11" t="e">
        <f>+'สรุปคชจ.64'!#REF!</f>
        <v>#REF!</v>
      </c>
      <c r="L47" s="11" t="e">
        <f>+'สรุปคชจ.64'!#REF!</f>
        <v>#REF!</v>
      </c>
      <c r="M47" s="11" t="e">
        <f>+'สรุปคชจ.64'!#REF!</f>
        <v>#REF!</v>
      </c>
      <c r="R47" s="11" t="e">
        <f>+'สรุปคชจ.64'!#REF!</f>
        <v>#REF!</v>
      </c>
      <c r="S47" s="11" t="e">
        <f>+'สรุปคชจ.64'!#REF!</f>
        <v>#REF!</v>
      </c>
      <c r="T47" s="11" t="e">
        <f>+'สรุปคชจ.64'!#REF!</f>
        <v>#REF!</v>
      </c>
    </row>
    <row r="48" ht="19.5" thickTop="1"/>
    <row r="49" spans="25:26" ht="18.75">
      <c r="Y49" s="15"/>
      <c r="Z49" s="15"/>
    </row>
  </sheetData>
  <sheetProtection/>
  <mergeCells count="14">
    <mergeCell ref="E4:G4"/>
    <mergeCell ref="H4:J4"/>
    <mergeCell ref="AH4:AH5"/>
    <mergeCell ref="R4:T4"/>
    <mergeCell ref="A1:AH1"/>
    <mergeCell ref="A2:AH2"/>
    <mergeCell ref="A3:AH3"/>
    <mergeCell ref="V4:X4"/>
    <mergeCell ref="O4:Q4"/>
    <mergeCell ref="K4:M4"/>
    <mergeCell ref="AE4:AG4"/>
    <mergeCell ref="AA4:AD4"/>
    <mergeCell ref="A4:A5"/>
    <mergeCell ref="B4:D4"/>
  </mergeCells>
  <printOptions horizontalCentered="1" vertic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9"/>
  <sheetViews>
    <sheetView zoomScale="70" zoomScaleNormal="70" zoomScalePageLayoutView="0" workbookViewId="0" topLeftCell="A40">
      <selection activeCell="B49" sqref="B49"/>
    </sheetView>
  </sheetViews>
  <sheetFormatPr defaultColWidth="9.140625" defaultRowHeight="20.25" customHeight="1"/>
  <cols>
    <col min="1" max="1" width="31.421875" style="33" bestFit="1" customWidth="1"/>
    <col min="2" max="2" width="30.57421875" style="33" customWidth="1"/>
    <col min="3" max="3" width="49.28125" style="33" customWidth="1"/>
    <col min="4" max="4" width="16.28125" style="33" bestFit="1" customWidth="1"/>
    <col min="5" max="5" width="12.140625" style="33" bestFit="1" customWidth="1"/>
    <col min="6" max="6" width="16.28125" style="6" bestFit="1" customWidth="1"/>
    <col min="7" max="7" width="17.140625" style="6" bestFit="1" customWidth="1"/>
    <col min="8" max="8" width="13.421875" style="6" bestFit="1" customWidth="1"/>
    <col min="9" max="9" width="15.8515625" style="6" bestFit="1" customWidth="1"/>
    <col min="10" max="10" width="16.28125" style="6" bestFit="1" customWidth="1"/>
    <col min="11" max="11" width="16.8515625" style="6" bestFit="1" customWidth="1"/>
    <col min="12" max="12" width="13.57421875" style="6" customWidth="1"/>
    <col min="13" max="13" width="14.8515625" style="6" customWidth="1"/>
    <col min="14" max="14" width="12.7109375" style="33" bestFit="1" customWidth="1"/>
    <col min="15" max="16384" width="9.00390625" style="33" customWidth="1"/>
  </cols>
  <sheetData>
    <row r="1" spans="1:13" s="30" customFormat="1" ht="20.25" customHeight="1">
      <c r="A1" s="299" t="s">
        <v>451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s="30" customFormat="1" ht="20.25" customHeight="1">
      <c r="A2" s="299" t="s">
        <v>220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s="30" customFormat="1" ht="20.25" customHeight="1">
      <c r="B3" s="208"/>
      <c r="C3" s="208"/>
      <c r="D3" s="208"/>
      <c r="E3" s="208"/>
      <c r="F3" s="19"/>
      <c r="G3" s="19"/>
      <c r="H3" s="19"/>
      <c r="I3" s="19"/>
      <c r="J3" s="19"/>
      <c r="K3" s="19"/>
      <c r="L3" s="19"/>
      <c r="M3" s="19"/>
    </row>
    <row r="4" spans="1:13" s="31" customFormat="1" ht="60" customHeight="1">
      <c r="A4" s="22" t="s">
        <v>39</v>
      </c>
      <c r="B4" s="22" t="s">
        <v>37</v>
      </c>
      <c r="C4" s="22" t="s">
        <v>38</v>
      </c>
      <c r="D4" s="207" t="s">
        <v>452</v>
      </c>
      <c r="E4" s="207" t="s">
        <v>453</v>
      </c>
      <c r="F4" s="207" t="s">
        <v>207</v>
      </c>
      <c r="G4" s="207" t="s">
        <v>208</v>
      </c>
      <c r="H4" s="207" t="s">
        <v>209</v>
      </c>
      <c r="I4" s="206" t="s">
        <v>40</v>
      </c>
      <c r="J4" s="23" t="s">
        <v>156</v>
      </c>
      <c r="K4" s="23" t="s">
        <v>157</v>
      </c>
      <c r="L4" s="23" t="s">
        <v>154</v>
      </c>
      <c r="M4" s="207" t="s">
        <v>508</v>
      </c>
    </row>
    <row r="5" spans="1:13" ht="20.25" customHeight="1">
      <c r="A5" s="307" t="s">
        <v>264</v>
      </c>
      <c r="B5" s="308"/>
      <c r="C5" s="309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20.25" customHeight="1">
      <c r="A6" s="32" t="s">
        <v>43</v>
      </c>
      <c r="B6" s="32" t="s">
        <v>41</v>
      </c>
      <c r="C6" s="32" t="s">
        <v>42</v>
      </c>
      <c r="D6" s="11">
        <v>9</v>
      </c>
      <c r="E6" s="11">
        <v>10.25</v>
      </c>
      <c r="F6" s="24">
        <f>14538512.8*E6/$E$11</f>
        <v>899063.3858220212</v>
      </c>
      <c r="G6" s="24">
        <f>8987885.4*E6/$E$11</f>
        <v>555811.9176470588</v>
      </c>
      <c r="H6" s="24">
        <f>284526.44*E6/$E$11</f>
        <v>17595.149381598796</v>
      </c>
      <c r="I6" s="1">
        <f aca="true" t="shared" si="0" ref="I6:I11">+F6+G6+H6</f>
        <v>1472470.4528506787</v>
      </c>
      <c r="J6" s="1">
        <f aca="true" t="shared" si="1" ref="J6:J11">+F6/D6</f>
        <v>99895.93175800235</v>
      </c>
      <c r="K6" s="1">
        <f aca="true" t="shared" si="2" ref="K6:K11">+G6/D6</f>
        <v>61756.87973856209</v>
      </c>
      <c r="L6" s="1">
        <f aca="true" t="shared" si="3" ref="L6:L11">+H6/D6</f>
        <v>1955.0165979554217</v>
      </c>
      <c r="M6" s="1">
        <f aca="true" t="shared" si="4" ref="M6:M11">SUM(J6:L6)</f>
        <v>163607.82809451988</v>
      </c>
    </row>
    <row r="7" spans="1:13" ht="20.25" customHeight="1">
      <c r="A7" s="32" t="s">
        <v>43</v>
      </c>
      <c r="B7" s="32" t="s">
        <v>41</v>
      </c>
      <c r="C7" s="32" t="s">
        <v>44</v>
      </c>
      <c r="D7" s="11">
        <v>31</v>
      </c>
      <c r="E7" s="11">
        <v>29.5</v>
      </c>
      <c r="F7" s="24">
        <f>14538512.8*E7/$E$11</f>
        <v>2587548.2811463047</v>
      </c>
      <c r="G7" s="24">
        <f>8987885.4*E7/$E$11</f>
        <v>1599653.811764706</v>
      </c>
      <c r="H7" s="24">
        <f>284526.44*E7/$E$11</f>
        <v>50639.69822021116</v>
      </c>
      <c r="I7" s="1">
        <f t="shared" si="0"/>
        <v>4237841.791131222</v>
      </c>
      <c r="J7" s="1">
        <f t="shared" si="1"/>
        <v>83469.29939181628</v>
      </c>
      <c r="K7" s="1">
        <f t="shared" si="2"/>
        <v>51601.73586337761</v>
      </c>
      <c r="L7" s="1">
        <f t="shared" si="3"/>
        <v>1633.5386522648762</v>
      </c>
      <c r="M7" s="1">
        <f t="shared" si="4"/>
        <v>136704.57390745875</v>
      </c>
    </row>
    <row r="8" spans="1:13" ht="20.25" customHeight="1">
      <c r="A8" s="32" t="s">
        <v>43</v>
      </c>
      <c r="B8" s="32" t="s">
        <v>41</v>
      </c>
      <c r="C8" s="32" t="s">
        <v>45</v>
      </c>
      <c r="D8" s="11">
        <v>35</v>
      </c>
      <c r="E8" s="11">
        <v>33.36</v>
      </c>
      <c r="F8" s="24">
        <f>14538512.8*E8/$E$11</f>
        <v>2926122.3952217195</v>
      </c>
      <c r="G8" s="24">
        <f>8987885.4*E8/$E$11</f>
        <v>1808964.446117647</v>
      </c>
      <c r="H8" s="24">
        <f>284526.44*E8/$E$11</f>
        <v>57265.773987330314</v>
      </c>
      <c r="I8" s="1">
        <f t="shared" si="0"/>
        <v>4792352.615326697</v>
      </c>
      <c r="J8" s="1">
        <f t="shared" si="1"/>
        <v>83603.49700633484</v>
      </c>
      <c r="K8" s="1">
        <f t="shared" si="2"/>
        <v>51684.6984605042</v>
      </c>
      <c r="L8" s="1">
        <f t="shared" si="3"/>
        <v>1636.1649710665804</v>
      </c>
      <c r="M8" s="1">
        <f t="shared" si="4"/>
        <v>136924.36043790562</v>
      </c>
    </row>
    <row r="9" spans="1:13" ht="20.25" customHeight="1">
      <c r="A9" s="32" t="s">
        <v>43</v>
      </c>
      <c r="B9" s="32" t="s">
        <v>41</v>
      </c>
      <c r="C9" s="32" t="s">
        <v>46</v>
      </c>
      <c r="D9" s="11">
        <v>52</v>
      </c>
      <c r="E9" s="11">
        <v>41.06</v>
      </c>
      <c r="F9" s="24">
        <f>14538512.8*E9/$E$11</f>
        <v>3601516.3533514333</v>
      </c>
      <c r="G9" s="24">
        <f>8987885.4*E9/$E$11</f>
        <v>2226501.2037647064</v>
      </c>
      <c r="H9" s="24">
        <f>284526.44*E9/$E$11</f>
        <v>70483.59352277528</v>
      </c>
      <c r="I9" s="1">
        <f t="shared" si="0"/>
        <v>5898501.150638915</v>
      </c>
      <c r="J9" s="1">
        <f t="shared" si="1"/>
        <v>69259.92987214295</v>
      </c>
      <c r="K9" s="1">
        <f t="shared" si="2"/>
        <v>42817.330841628966</v>
      </c>
      <c r="L9" s="1">
        <f t="shared" si="3"/>
        <v>1355.4537215918322</v>
      </c>
      <c r="M9" s="1">
        <f t="shared" si="4"/>
        <v>113432.71443536376</v>
      </c>
    </row>
    <row r="10" spans="1:13" ht="20.25" customHeight="1" thickBot="1">
      <c r="A10" s="54" t="s">
        <v>43</v>
      </c>
      <c r="B10" s="54" t="s">
        <v>41</v>
      </c>
      <c r="C10" s="54" t="s">
        <v>132</v>
      </c>
      <c r="D10" s="192">
        <v>56</v>
      </c>
      <c r="E10" s="192">
        <v>51.58</v>
      </c>
      <c r="F10" s="213">
        <f>14538512.8*E10/$E$11</f>
        <v>4524262.384458521</v>
      </c>
      <c r="G10" s="213">
        <f>8987885.4*E10/$E$11</f>
        <v>2796954.0207058825</v>
      </c>
      <c r="H10" s="213">
        <f>284526.44*E10/$E$11</f>
        <v>88542.22488808447</v>
      </c>
      <c r="I10" s="8">
        <f t="shared" si="0"/>
        <v>7409758.630052488</v>
      </c>
      <c r="J10" s="8">
        <f t="shared" si="1"/>
        <v>80790.3997224736</v>
      </c>
      <c r="K10" s="8">
        <f t="shared" si="2"/>
        <v>49945.60751260504</v>
      </c>
      <c r="L10" s="8">
        <f t="shared" si="3"/>
        <v>1581.111158715794</v>
      </c>
      <c r="M10" s="8">
        <f t="shared" si="4"/>
        <v>132317.11839379443</v>
      </c>
    </row>
    <row r="11" spans="1:13" s="35" customFormat="1" ht="20.25" customHeight="1" thickBot="1" thickTop="1">
      <c r="A11" s="55"/>
      <c r="B11" s="82"/>
      <c r="C11" s="56" t="s">
        <v>159</v>
      </c>
      <c r="D11" s="13">
        <f>SUM(D6:D10)</f>
        <v>183</v>
      </c>
      <c r="E11" s="13">
        <f>SUM(E6:E10)</f>
        <v>165.75</v>
      </c>
      <c r="F11" s="57">
        <f>SUM(F6:F10)</f>
        <v>14538512.8</v>
      </c>
      <c r="G11" s="57">
        <f>SUM(G6:G10)</f>
        <v>8987885.4</v>
      </c>
      <c r="H11" s="57">
        <f>SUM(H6:H10)</f>
        <v>284526.44</v>
      </c>
      <c r="I11" s="214">
        <f t="shared" si="0"/>
        <v>23810924.640000004</v>
      </c>
      <c r="J11" s="57">
        <f t="shared" si="1"/>
        <v>79445.42513661203</v>
      </c>
      <c r="K11" s="57">
        <f t="shared" si="2"/>
        <v>49114.12786885246</v>
      </c>
      <c r="L11" s="57">
        <f t="shared" si="3"/>
        <v>1554.7892896174862</v>
      </c>
      <c r="M11" s="57">
        <f t="shared" si="4"/>
        <v>130114.34229508198</v>
      </c>
    </row>
    <row r="12" spans="1:13" ht="20.25" customHeight="1" thickTop="1">
      <c r="A12" s="304" t="s">
        <v>47</v>
      </c>
      <c r="B12" s="305"/>
      <c r="C12" s="306"/>
      <c r="D12" s="216"/>
      <c r="E12" s="216"/>
      <c r="F12" s="217"/>
      <c r="G12" s="217"/>
      <c r="H12" s="217"/>
      <c r="I12" s="216"/>
      <c r="J12" s="216"/>
      <c r="K12" s="216"/>
      <c r="L12" s="216"/>
      <c r="M12" s="216"/>
    </row>
    <row r="13" spans="1:13" ht="20.25" customHeight="1">
      <c r="A13" s="32" t="s">
        <v>49</v>
      </c>
      <c r="B13" s="32" t="s">
        <v>48</v>
      </c>
      <c r="C13" s="32" t="s">
        <v>42</v>
      </c>
      <c r="D13" s="1">
        <v>948</v>
      </c>
      <c r="E13" s="1">
        <v>669.28</v>
      </c>
      <c r="F13" s="1">
        <f>110384144.96*E13/$E$21</f>
        <v>21633859.808964424</v>
      </c>
      <c r="G13" s="1">
        <f>94634661.5*E13/$E$21</f>
        <v>18547165.45298865</v>
      </c>
      <c r="H13" s="1">
        <f>5624721.86*E13/$E$21</f>
        <v>1102372.4849954904</v>
      </c>
      <c r="I13" s="1">
        <f>+F13+G13+H13</f>
        <v>41283397.74694856</v>
      </c>
      <c r="J13" s="1">
        <f>+F13/D13</f>
        <v>22820.527224646015</v>
      </c>
      <c r="K13" s="1">
        <f>+G13/D13</f>
        <v>19564.520520030223</v>
      </c>
      <c r="L13" s="1">
        <f>+H13/D13</f>
        <v>1162.840174045876</v>
      </c>
      <c r="M13" s="1">
        <f>SUM(J13:L13)</f>
        <v>43547.88791872212</v>
      </c>
    </row>
    <row r="14" spans="1:13" ht="20.25" customHeight="1">
      <c r="A14" s="32" t="s">
        <v>49</v>
      </c>
      <c r="B14" s="32" t="s">
        <v>48</v>
      </c>
      <c r="C14" s="32" t="s">
        <v>165</v>
      </c>
      <c r="D14" s="1">
        <v>551</v>
      </c>
      <c r="E14" s="1">
        <v>398.22</v>
      </c>
      <c r="F14" s="1">
        <f aca="true" t="shared" si="5" ref="F14:F20">110384144.96*E14/$E$21</f>
        <v>12872094.867806917</v>
      </c>
      <c r="G14" s="1">
        <f aca="true" t="shared" si="6" ref="G14:G20">94634661.5*E14/$E$21</f>
        <v>11035519.105141554</v>
      </c>
      <c r="H14" s="1">
        <f aca="true" t="shared" si="7" ref="H14:H20">5624721.86*E14/$E$21</f>
        <v>655908.9932089772</v>
      </c>
      <c r="I14" s="1">
        <f aca="true" t="shared" si="8" ref="I14:I77">+F14+G14+H14</f>
        <v>24563522.966157448</v>
      </c>
      <c r="J14" s="1">
        <f>+F14/D14</f>
        <v>23361.33369837916</v>
      </c>
      <c r="K14" s="1">
        <f>+G14/D14</f>
        <v>20028.16534508449</v>
      </c>
      <c r="L14" s="1">
        <f>+H14/D14</f>
        <v>1190.397446840249</v>
      </c>
      <c r="M14" s="1">
        <f>SUM(J14:L14)</f>
        <v>44579.8964903039</v>
      </c>
    </row>
    <row r="15" spans="1:13" ht="20.25" customHeight="1">
      <c r="A15" s="32" t="s">
        <v>49</v>
      </c>
      <c r="B15" s="32" t="s">
        <v>48</v>
      </c>
      <c r="C15" s="32" t="s">
        <v>166</v>
      </c>
      <c r="D15" s="1">
        <v>590</v>
      </c>
      <c r="E15" s="1">
        <v>403.36</v>
      </c>
      <c r="F15" s="1">
        <f t="shared" si="5"/>
        <v>13038240.63552458</v>
      </c>
      <c r="G15" s="1">
        <f t="shared" si="6"/>
        <v>11177959.384887494</v>
      </c>
      <c r="H15" s="1">
        <f t="shared" si="7"/>
        <v>664375.0979377555</v>
      </c>
      <c r="I15" s="1">
        <f t="shared" si="8"/>
        <v>24880575.118349828</v>
      </c>
      <c r="J15" s="1">
        <f aca="true" t="shared" si="9" ref="J15:J20">+F15/D15</f>
        <v>22098.712941567086</v>
      </c>
      <c r="K15" s="1">
        <f aca="true" t="shared" si="10" ref="K15:K20">+G15/D15</f>
        <v>18945.693872690666</v>
      </c>
      <c r="L15" s="1">
        <f aca="true" t="shared" si="11" ref="L15:L20">+H15/D15</f>
        <v>1126.0594880300941</v>
      </c>
      <c r="M15" s="1">
        <f aca="true" t="shared" si="12" ref="M15:M20">SUM(J15:L15)</f>
        <v>42170.466302287845</v>
      </c>
    </row>
    <row r="16" spans="1:13" ht="20.25" customHeight="1">
      <c r="A16" s="32" t="s">
        <v>49</v>
      </c>
      <c r="B16" s="32" t="s">
        <v>48</v>
      </c>
      <c r="C16" s="32" t="s">
        <v>167</v>
      </c>
      <c r="D16" s="1">
        <v>444</v>
      </c>
      <c r="E16" s="1">
        <v>315.61</v>
      </c>
      <c r="F16" s="1">
        <f t="shared" si="5"/>
        <v>10201802.674974991</v>
      </c>
      <c r="G16" s="1">
        <f t="shared" si="6"/>
        <v>8746221.146034168</v>
      </c>
      <c r="H16" s="1">
        <f t="shared" si="7"/>
        <v>519841.8897762173</v>
      </c>
      <c r="I16" s="1">
        <f t="shared" si="8"/>
        <v>19467865.710785378</v>
      </c>
      <c r="J16" s="1">
        <f t="shared" si="9"/>
        <v>22977.033051745475</v>
      </c>
      <c r="K16" s="1">
        <f t="shared" si="10"/>
        <v>19698.69627485173</v>
      </c>
      <c r="L16" s="1">
        <f t="shared" si="11"/>
        <v>1170.8150670635525</v>
      </c>
      <c r="M16" s="1">
        <f t="shared" si="12"/>
        <v>43846.544393660755</v>
      </c>
    </row>
    <row r="17" spans="1:13" ht="20.25" customHeight="1">
      <c r="A17" s="32" t="s">
        <v>49</v>
      </c>
      <c r="B17" s="32" t="s">
        <v>48</v>
      </c>
      <c r="C17" s="32" t="s">
        <v>168</v>
      </c>
      <c r="D17" s="1">
        <v>323</v>
      </c>
      <c r="E17" s="1">
        <v>204.97</v>
      </c>
      <c r="F17" s="1">
        <f t="shared" si="5"/>
        <v>6625466.538733322</v>
      </c>
      <c r="G17" s="1">
        <f t="shared" si="6"/>
        <v>5680152.55632782</v>
      </c>
      <c r="H17" s="1">
        <f t="shared" si="7"/>
        <v>337606.5148361309</v>
      </c>
      <c r="I17" s="1">
        <f t="shared" si="8"/>
        <v>12643225.609897273</v>
      </c>
      <c r="J17" s="1">
        <f t="shared" si="9"/>
        <v>20512.28030567592</v>
      </c>
      <c r="K17" s="1">
        <f t="shared" si="10"/>
        <v>17585.611629497893</v>
      </c>
      <c r="L17" s="1">
        <f t="shared" si="11"/>
        <v>1045.2214081613959</v>
      </c>
      <c r="M17" s="1">
        <f t="shared" si="12"/>
        <v>39143.11334333521</v>
      </c>
    </row>
    <row r="18" spans="1:13" ht="20.25" customHeight="1">
      <c r="A18" s="32" t="s">
        <v>49</v>
      </c>
      <c r="B18" s="32" t="s">
        <v>48</v>
      </c>
      <c r="C18" s="32" t="s">
        <v>50</v>
      </c>
      <c r="D18" s="1">
        <v>862</v>
      </c>
      <c r="E18" s="1">
        <v>633.78</v>
      </c>
      <c r="F18" s="1">
        <f t="shared" si="5"/>
        <v>20486354.993015587</v>
      </c>
      <c r="G18" s="1">
        <f t="shared" si="6"/>
        <v>17563385.310774483</v>
      </c>
      <c r="H18" s="1">
        <f t="shared" si="7"/>
        <v>1043900.3608959507</v>
      </c>
      <c r="I18" s="1">
        <f t="shared" si="8"/>
        <v>39093640.664686024</v>
      </c>
      <c r="J18" s="1">
        <f t="shared" si="9"/>
        <v>23766.073077744302</v>
      </c>
      <c r="K18" s="1">
        <f t="shared" si="10"/>
        <v>20375.156973056244</v>
      </c>
      <c r="L18" s="1">
        <f t="shared" si="11"/>
        <v>1211.0213003433303</v>
      </c>
      <c r="M18" s="1">
        <f t="shared" si="12"/>
        <v>45352.251351143874</v>
      </c>
    </row>
    <row r="19" spans="1:13" ht="20.25" customHeight="1">
      <c r="A19" s="32" t="s">
        <v>49</v>
      </c>
      <c r="B19" s="32" t="s">
        <v>48</v>
      </c>
      <c r="C19" s="32" t="s">
        <v>51</v>
      </c>
      <c r="D19" s="1">
        <v>130</v>
      </c>
      <c r="E19" s="1">
        <v>72.64</v>
      </c>
      <c r="F19" s="1">
        <f t="shared" si="5"/>
        <v>2348021.1219865764</v>
      </c>
      <c r="G19" s="1">
        <f t="shared" si="6"/>
        <v>2013008.1557869583</v>
      </c>
      <c r="H19" s="1">
        <f t="shared" si="7"/>
        <v>119645.49562226934</v>
      </c>
      <c r="I19" s="1">
        <f t="shared" si="8"/>
        <v>4480674.773395805</v>
      </c>
      <c r="J19" s="1">
        <f t="shared" si="9"/>
        <v>18061.70093835828</v>
      </c>
      <c r="K19" s="1">
        <f t="shared" si="10"/>
        <v>15484.67812143814</v>
      </c>
      <c r="L19" s="1">
        <f t="shared" si="11"/>
        <v>920.3499663251488</v>
      </c>
      <c r="M19" s="1">
        <f t="shared" si="12"/>
        <v>34466.729026121575</v>
      </c>
    </row>
    <row r="20" spans="1:13" ht="20.25" customHeight="1" thickBot="1">
      <c r="A20" s="54" t="s">
        <v>49</v>
      </c>
      <c r="B20" s="54" t="s">
        <v>52</v>
      </c>
      <c r="C20" s="54" t="s">
        <v>44</v>
      </c>
      <c r="D20" s="8">
        <v>983</v>
      </c>
      <c r="E20" s="8">
        <v>717.06</v>
      </c>
      <c r="F20" s="8">
        <f t="shared" si="5"/>
        <v>23178304.31899359</v>
      </c>
      <c r="G20" s="8">
        <f t="shared" si="6"/>
        <v>19871250.388058867</v>
      </c>
      <c r="H20" s="8">
        <f t="shared" si="7"/>
        <v>1181071.022727209</v>
      </c>
      <c r="I20" s="8">
        <f t="shared" si="8"/>
        <v>44230625.72977966</v>
      </c>
      <c r="J20" s="8">
        <f t="shared" si="9"/>
        <v>23579.149866727967</v>
      </c>
      <c r="K20" s="8">
        <f t="shared" si="10"/>
        <v>20214.90375184015</v>
      </c>
      <c r="L20" s="8">
        <f t="shared" si="11"/>
        <v>1201.4964625912603</v>
      </c>
      <c r="M20" s="8">
        <f t="shared" si="12"/>
        <v>44995.550081159374</v>
      </c>
    </row>
    <row r="21" spans="1:13" s="35" customFormat="1" ht="20.25" customHeight="1" thickBot="1" thickTop="1">
      <c r="A21" s="55"/>
      <c r="B21" s="55"/>
      <c r="C21" s="56" t="s">
        <v>135</v>
      </c>
      <c r="D21" s="13">
        <f>SUM(D13:D20)</f>
        <v>4831</v>
      </c>
      <c r="E21" s="13">
        <f>SUM(E13:E20)</f>
        <v>3414.92</v>
      </c>
      <c r="F21" s="57">
        <f>SUM(F13:F20)</f>
        <v>110384144.96000001</v>
      </c>
      <c r="G21" s="57">
        <f>SUM(G13:G20)</f>
        <v>94634661.5</v>
      </c>
      <c r="H21" s="57">
        <f>SUM(H13:H20)</f>
        <v>5624721.86</v>
      </c>
      <c r="I21" s="57">
        <f t="shared" si="8"/>
        <v>210643528.32000002</v>
      </c>
      <c r="J21" s="57">
        <f>+F21/D21</f>
        <v>22849.129571517286</v>
      </c>
      <c r="K21" s="57">
        <f>+G21/D21</f>
        <v>19589.041916787413</v>
      </c>
      <c r="L21" s="57">
        <f>+H21/D21</f>
        <v>1164.2976319602567</v>
      </c>
      <c r="M21" s="57">
        <f>SUM(J21:L21)</f>
        <v>43602.469120264956</v>
      </c>
    </row>
    <row r="22" spans="1:13" ht="20.25" customHeight="1" thickTop="1">
      <c r="A22" s="58" t="s">
        <v>55</v>
      </c>
      <c r="B22" s="58" t="s">
        <v>53</v>
      </c>
      <c r="C22" s="59" t="s">
        <v>149</v>
      </c>
      <c r="D22" s="193">
        <v>477</v>
      </c>
      <c r="E22" s="193">
        <v>424.78</v>
      </c>
      <c r="F22" s="45">
        <f>56881189.88*E22/$E$32</f>
        <v>21456156.00361101</v>
      </c>
      <c r="G22" s="45">
        <f>31434284.68*E22/$E$32</f>
        <v>11857327.833311487</v>
      </c>
      <c r="H22" s="45">
        <f>1488984.95*E22/$E$32</f>
        <v>561660.075002442</v>
      </c>
      <c r="I22" s="10">
        <f t="shared" si="8"/>
        <v>33875143.911924936</v>
      </c>
      <c r="J22" s="10">
        <f>+F22/D22</f>
        <v>44981.45912706711</v>
      </c>
      <c r="K22" s="10">
        <f>+G22/D22</f>
        <v>24858.12962958383</v>
      </c>
      <c r="L22" s="10">
        <f>+H22/D22</f>
        <v>1177.4844339673837</v>
      </c>
      <c r="M22" s="10">
        <f>SUM(J22:L22)</f>
        <v>71017.07319061832</v>
      </c>
    </row>
    <row r="23" spans="1:13" ht="20.25" customHeight="1">
      <c r="A23" s="32" t="s">
        <v>55</v>
      </c>
      <c r="B23" s="32" t="s">
        <v>48</v>
      </c>
      <c r="C23" s="34" t="s">
        <v>150</v>
      </c>
      <c r="D23" s="12">
        <v>1</v>
      </c>
      <c r="E23" s="12">
        <v>0.5</v>
      </c>
      <c r="F23" s="45">
        <f aca="true" t="shared" si="13" ref="F23:F31">56881189.88*E23/$E$32</f>
        <v>25255.609967054726</v>
      </c>
      <c r="G23" s="45">
        <f aca="true" t="shared" si="14" ref="G23:G31">31434284.68*E23/$E$32</f>
        <v>13957.022262478797</v>
      </c>
      <c r="H23" s="45">
        <f aca="true" t="shared" si="15" ref="H23:H31">1488984.95*E23/$E$32</f>
        <v>661.1187850210014</v>
      </c>
      <c r="I23" s="1">
        <f t="shared" si="8"/>
        <v>39873.75101455453</v>
      </c>
      <c r="J23" s="10">
        <f aca="true" t="shared" si="16" ref="J23:J31">+F23/D23</f>
        <v>25255.609967054726</v>
      </c>
      <c r="K23" s="10">
        <f aca="true" t="shared" si="17" ref="K23:K31">+G23/D23</f>
        <v>13957.022262478797</v>
      </c>
      <c r="L23" s="10">
        <f aca="true" t="shared" si="18" ref="L23:L31">+H23/D23</f>
        <v>661.1187850210014</v>
      </c>
      <c r="M23" s="10">
        <f aca="true" t="shared" si="19" ref="M23:M31">SUM(J23:L23)</f>
        <v>39873.75101455453</v>
      </c>
    </row>
    <row r="24" spans="1:13" ht="20.25" customHeight="1">
      <c r="A24" s="32" t="s">
        <v>55</v>
      </c>
      <c r="B24" s="32" t="s">
        <v>48</v>
      </c>
      <c r="C24" s="34" t="s">
        <v>56</v>
      </c>
      <c r="D24" s="12">
        <v>262</v>
      </c>
      <c r="E24" s="12">
        <v>245.36</v>
      </c>
      <c r="F24" s="45">
        <f t="shared" si="13"/>
        <v>12393432.923033098</v>
      </c>
      <c r="G24" s="45">
        <f t="shared" si="14"/>
        <v>6848989.964643596</v>
      </c>
      <c r="H24" s="45">
        <f t="shared" si="15"/>
        <v>324424.21018550586</v>
      </c>
      <c r="I24" s="1">
        <f t="shared" si="8"/>
        <v>19566847.0978622</v>
      </c>
      <c r="J24" s="10">
        <f t="shared" si="16"/>
        <v>47303.17909554618</v>
      </c>
      <c r="K24" s="10">
        <f t="shared" si="17"/>
        <v>26141.18307115876</v>
      </c>
      <c r="L24" s="10">
        <f t="shared" si="18"/>
        <v>1238.260344219488</v>
      </c>
      <c r="M24" s="10">
        <f t="shared" si="19"/>
        <v>74682.62251092441</v>
      </c>
    </row>
    <row r="25" spans="1:13" ht="20.25" customHeight="1">
      <c r="A25" s="32" t="s">
        <v>55</v>
      </c>
      <c r="B25" s="32" t="s">
        <v>48</v>
      </c>
      <c r="C25" s="34" t="s">
        <v>454</v>
      </c>
      <c r="D25" s="12">
        <v>20</v>
      </c>
      <c r="E25" s="12">
        <v>11.67</v>
      </c>
      <c r="F25" s="45">
        <f t="shared" si="13"/>
        <v>589465.9366310573</v>
      </c>
      <c r="G25" s="45">
        <f t="shared" si="14"/>
        <v>325756.8996062551</v>
      </c>
      <c r="H25" s="45">
        <f t="shared" si="15"/>
        <v>15430.51244239017</v>
      </c>
      <c r="I25" s="1">
        <f t="shared" si="8"/>
        <v>930653.3486797026</v>
      </c>
      <c r="J25" s="10">
        <f t="shared" si="16"/>
        <v>29473.296831552863</v>
      </c>
      <c r="K25" s="10">
        <f t="shared" si="17"/>
        <v>16287.844980312755</v>
      </c>
      <c r="L25" s="10">
        <f t="shared" si="18"/>
        <v>771.5256221195085</v>
      </c>
      <c r="M25" s="10">
        <f t="shared" si="19"/>
        <v>46532.66743398512</v>
      </c>
    </row>
    <row r="26" spans="1:13" ht="20.25" customHeight="1">
      <c r="A26" s="32" t="s">
        <v>55</v>
      </c>
      <c r="B26" s="32" t="s">
        <v>48</v>
      </c>
      <c r="C26" s="34" t="s">
        <v>169</v>
      </c>
      <c r="D26" s="12">
        <v>129</v>
      </c>
      <c r="E26" s="12">
        <v>122.61</v>
      </c>
      <c r="F26" s="45">
        <f t="shared" si="13"/>
        <v>6193180.676121159</v>
      </c>
      <c r="G26" s="45">
        <f t="shared" si="14"/>
        <v>3422540.9992050505</v>
      </c>
      <c r="H26" s="45">
        <f t="shared" si="15"/>
        <v>162119.54846284998</v>
      </c>
      <c r="I26" s="1">
        <f t="shared" si="8"/>
        <v>9777841.223789059</v>
      </c>
      <c r="J26" s="10">
        <f t="shared" si="16"/>
        <v>48009.152528071005</v>
      </c>
      <c r="K26" s="10">
        <f t="shared" si="17"/>
        <v>26531.32557523295</v>
      </c>
      <c r="L26" s="10">
        <f t="shared" si="18"/>
        <v>1256.740685758527</v>
      </c>
      <c r="M26" s="10">
        <f t="shared" si="19"/>
        <v>75797.21878906249</v>
      </c>
    </row>
    <row r="27" spans="1:13" ht="20.25" customHeight="1">
      <c r="A27" s="32" t="s">
        <v>55</v>
      </c>
      <c r="B27" s="32" t="s">
        <v>48</v>
      </c>
      <c r="C27" s="32" t="s">
        <v>170</v>
      </c>
      <c r="D27" s="1">
        <v>12</v>
      </c>
      <c r="E27" s="1">
        <v>7.33</v>
      </c>
      <c r="F27" s="45">
        <f t="shared" si="13"/>
        <v>370247.2421170223</v>
      </c>
      <c r="G27" s="45">
        <f t="shared" si="14"/>
        <v>204609.94636793918</v>
      </c>
      <c r="H27" s="45">
        <f t="shared" si="15"/>
        <v>9692.00138840788</v>
      </c>
      <c r="I27" s="1">
        <f t="shared" si="8"/>
        <v>584549.1898733693</v>
      </c>
      <c r="J27" s="10">
        <f t="shared" si="16"/>
        <v>30853.93684308519</v>
      </c>
      <c r="K27" s="10">
        <f t="shared" si="17"/>
        <v>17050.82886399493</v>
      </c>
      <c r="L27" s="10">
        <f t="shared" si="18"/>
        <v>807.6667823673233</v>
      </c>
      <c r="M27" s="10">
        <f t="shared" si="19"/>
        <v>48712.43248944744</v>
      </c>
    </row>
    <row r="28" spans="1:13" ht="20.25" customHeight="1">
      <c r="A28" s="32" t="s">
        <v>55</v>
      </c>
      <c r="B28" s="32" t="s">
        <v>48</v>
      </c>
      <c r="C28" s="32" t="s">
        <v>234</v>
      </c>
      <c r="D28" s="1">
        <v>19</v>
      </c>
      <c r="E28" s="1">
        <v>16.25</v>
      </c>
      <c r="F28" s="45">
        <f t="shared" si="13"/>
        <v>820807.3239292786</v>
      </c>
      <c r="G28" s="45">
        <f t="shared" si="14"/>
        <v>453603.2235305609</v>
      </c>
      <c r="H28" s="45">
        <f t="shared" si="15"/>
        <v>21486.360513182546</v>
      </c>
      <c r="I28" s="1">
        <f t="shared" si="8"/>
        <v>1295896.9079730222</v>
      </c>
      <c r="J28" s="10">
        <f t="shared" si="16"/>
        <v>43200.385469962035</v>
      </c>
      <c r="K28" s="10">
        <f t="shared" si="17"/>
        <v>23873.85387002952</v>
      </c>
      <c r="L28" s="10">
        <f t="shared" si="18"/>
        <v>1130.8610796411867</v>
      </c>
      <c r="M28" s="10">
        <f t="shared" si="19"/>
        <v>68205.10041963274</v>
      </c>
    </row>
    <row r="29" spans="1:13" ht="20.25" customHeight="1">
      <c r="A29" s="32" t="s">
        <v>55</v>
      </c>
      <c r="B29" s="32" t="s">
        <v>48</v>
      </c>
      <c r="C29" s="32" t="s">
        <v>171</v>
      </c>
      <c r="D29" s="1">
        <v>99</v>
      </c>
      <c r="E29" s="1">
        <v>83.67</v>
      </c>
      <c r="F29" s="45">
        <f t="shared" si="13"/>
        <v>4226273.771886938</v>
      </c>
      <c r="G29" s="45">
        <f t="shared" si="14"/>
        <v>2335568.105403202</v>
      </c>
      <c r="H29" s="45">
        <f t="shared" si="15"/>
        <v>110631.61748541438</v>
      </c>
      <c r="I29" s="1">
        <f t="shared" si="8"/>
        <v>6672473.494775555</v>
      </c>
      <c r="J29" s="10">
        <f t="shared" si="16"/>
        <v>42689.63405946402</v>
      </c>
      <c r="K29" s="10">
        <f t="shared" si="17"/>
        <v>23591.597024274768</v>
      </c>
      <c r="L29" s="10">
        <f t="shared" si="18"/>
        <v>1117.4910857112563</v>
      </c>
      <c r="M29" s="10">
        <f t="shared" si="19"/>
        <v>67398.72216945005</v>
      </c>
    </row>
    <row r="30" spans="1:13" ht="20.25" customHeight="1">
      <c r="A30" s="32" t="s">
        <v>55</v>
      </c>
      <c r="B30" s="32" t="s">
        <v>48</v>
      </c>
      <c r="C30" s="32" t="s">
        <v>58</v>
      </c>
      <c r="D30" s="1">
        <v>220</v>
      </c>
      <c r="E30" s="1">
        <v>207.5</v>
      </c>
      <c r="F30" s="45">
        <f t="shared" si="13"/>
        <v>10481078.136327712</v>
      </c>
      <c r="G30" s="45">
        <f t="shared" si="14"/>
        <v>5792164.238928701</v>
      </c>
      <c r="H30" s="45">
        <f t="shared" si="15"/>
        <v>274364.2957837156</v>
      </c>
      <c r="I30" s="1">
        <f t="shared" si="8"/>
        <v>16547606.671040127</v>
      </c>
      <c r="J30" s="10">
        <f t="shared" si="16"/>
        <v>47641.26425603505</v>
      </c>
      <c r="K30" s="10">
        <f t="shared" si="17"/>
        <v>26328.01926785773</v>
      </c>
      <c r="L30" s="10">
        <f t="shared" si="18"/>
        <v>1247.1104353805256</v>
      </c>
      <c r="M30" s="10">
        <f t="shared" si="19"/>
        <v>75216.39395927331</v>
      </c>
    </row>
    <row r="31" spans="1:13" ht="20.25" customHeight="1" thickBot="1">
      <c r="A31" s="54" t="s">
        <v>55</v>
      </c>
      <c r="B31" s="54" t="s">
        <v>48</v>
      </c>
      <c r="C31" s="54" t="s">
        <v>57</v>
      </c>
      <c r="D31" s="8">
        <v>7</v>
      </c>
      <c r="E31" s="8">
        <v>6.44</v>
      </c>
      <c r="F31" s="66">
        <f t="shared" si="13"/>
        <v>325292.2563756649</v>
      </c>
      <c r="G31" s="66">
        <f t="shared" si="14"/>
        <v>179766.4467407269</v>
      </c>
      <c r="H31" s="66">
        <f t="shared" si="15"/>
        <v>8515.209951070497</v>
      </c>
      <c r="I31" s="8">
        <f t="shared" si="8"/>
        <v>513573.9130674623</v>
      </c>
      <c r="J31" s="62">
        <f t="shared" si="16"/>
        <v>46470.3223393807</v>
      </c>
      <c r="K31" s="62">
        <f t="shared" si="17"/>
        <v>25680.920962960987</v>
      </c>
      <c r="L31" s="62">
        <f t="shared" si="18"/>
        <v>1216.4585644386425</v>
      </c>
      <c r="M31" s="62">
        <f t="shared" si="19"/>
        <v>73367.70186678032</v>
      </c>
    </row>
    <row r="32" spans="1:13" s="35" customFormat="1" ht="20.25" customHeight="1" thickBot="1" thickTop="1">
      <c r="A32" s="55"/>
      <c r="B32" s="55"/>
      <c r="C32" s="56" t="s">
        <v>137</v>
      </c>
      <c r="D32" s="57">
        <f>SUM(D22:D31)</f>
        <v>1246</v>
      </c>
      <c r="E32" s="57">
        <f>SUM(E22:E31)</f>
        <v>1126.1100000000001</v>
      </c>
      <c r="F32" s="57">
        <f>SUM(F22:F31)</f>
        <v>56881189.879999995</v>
      </c>
      <c r="G32" s="57">
        <f>SUM(G22:G31)</f>
        <v>31434284.679999996</v>
      </c>
      <c r="H32" s="57">
        <f>SUM(H22:H31)</f>
        <v>1488984.95</v>
      </c>
      <c r="I32" s="214">
        <f t="shared" si="8"/>
        <v>89804459.50999999</v>
      </c>
      <c r="J32" s="57">
        <f>+F32/D32</f>
        <v>45651.03521669342</v>
      </c>
      <c r="K32" s="57">
        <f aca="true" t="shared" si="20" ref="K32:K40">+G32/D32</f>
        <v>25228.15784911717</v>
      </c>
      <c r="L32" s="57">
        <f aca="true" t="shared" si="21" ref="L32:L40">+H32/D32</f>
        <v>1195.0119983948634</v>
      </c>
      <c r="M32" s="57">
        <f aca="true" t="shared" si="22" ref="M32:M38">SUM(J32:L32)</f>
        <v>72074.20506420545</v>
      </c>
    </row>
    <row r="33" spans="1:13" ht="20.25" customHeight="1" thickTop="1">
      <c r="A33" s="58" t="s">
        <v>61</v>
      </c>
      <c r="B33" s="58" t="s">
        <v>59</v>
      </c>
      <c r="C33" s="58" t="s">
        <v>60</v>
      </c>
      <c r="D33" s="10">
        <v>57</v>
      </c>
      <c r="E33" s="10">
        <v>75.42</v>
      </c>
      <c r="F33" s="45">
        <f aca="true" t="shared" si="23" ref="F33:F38">30620497.19*E33/$E$39</f>
        <v>5452994.966045194</v>
      </c>
      <c r="G33" s="45">
        <f aca="true" t="shared" si="24" ref="G33:G38">11744175.29*E33/$E$39</f>
        <v>2091439.8724275695</v>
      </c>
      <c r="H33" s="45">
        <f aca="true" t="shared" si="25" ref="H33:H38">789980.83*E33/$E$39</f>
        <v>140682.2842402777</v>
      </c>
      <c r="I33" s="10">
        <f t="shared" si="8"/>
        <v>7685117.1227130415</v>
      </c>
      <c r="J33" s="10">
        <f aca="true" t="shared" si="26" ref="J33:J38">+F33/D33</f>
        <v>95666.57835167008</v>
      </c>
      <c r="K33" s="10">
        <f t="shared" si="20"/>
        <v>36691.92758644859</v>
      </c>
      <c r="L33" s="10">
        <f t="shared" si="21"/>
        <v>2468.110249829433</v>
      </c>
      <c r="M33" s="10">
        <f t="shared" si="22"/>
        <v>134826.6161879481</v>
      </c>
    </row>
    <row r="34" spans="1:13" ht="20.25" customHeight="1">
      <c r="A34" s="32" t="s">
        <v>61</v>
      </c>
      <c r="B34" s="32" t="s">
        <v>59</v>
      </c>
      <c r="C34" s="32" t="s">
        <v>235</v>
      </c>
      <c r="D34" s="1">
        <v>141</v>
      </c>
      <c r="E34" s="1">
        <v>106.56</v>
      </c>
      <c r="F34" s="45">
        <f t="shared" si="23"/>
        <v>7704470.214555501</v>
      </c>
      <c r="G34" s="45">
        <f t="shared" si="24"/>
        <v>2954969.939086208</v>
      </c>
      <c r="H34" s="45">
        <f t="shared" si="25"/>
        <v>198768.28704115606</v>
      </c>
      <c r="I34" s="1">
        <f t="shared" si="8"/>
        <v>10858208.440682864</v>
      </c>
      <c r="J34" s="10">
        <f t="shared" si="26"/>
        <v>54641.63272734398</v>
      </c>
      <c r="K34" s="10">
        <f>+G34/D34</f>
        <v>20957.233610540483</v>
      </c>
      <c r="L34" s="10">
        <f>+H34/D34</f>
        <v>1409.7041634124544</v>
      </c>
      <c r="M34" s="10">
        <f t="shared" si="22"/>
        <v>77008.57050129693</v>
      </c>
    </row>
    <row r="35" spans="1:13" ht="20.25" customHeight="1">
      <c r="A35" s="32" t="s">
        <v>61</v>
      </c>
      <c r="B35" s="32" t="s">
        <v>59</v>
      </c>
      <c r="C35" s="32" t="s">
        <v>236</v>
      </c>
      <c r="D35" s="8">
        <v>31</v>
      </c>
      <c r="E35" s="8">
        <v>26.39</v>
      </c>
      <c r="F35" s="45">
        <f t="shared" si="23"/>
        <v>1908042.1261460178</v>
      </c>
      <c r="G35" s="45">
        <f t="shared" si="24"/>
        <v>731809.8413333804</v>
      </c>
      <c r="H35" s="45">
        <f t="shared" si="25"/>
        <v>49225.74225803405</v>
      </c>
      <c r="I35" s="1">
        <f t="shared" si="8"/>
        <v>2689077.7097374327</v>
      </c>
      <c r="J35" s="10">
        <f t="shared" si="26"/>
        <v>61549.74600471025</v>
      </c>
      <c r="K35" s="10">
        <f>+G35/D35</f>
        <v>23606.76907527034</v>
      </c>
      <c r="L35" s="10">
        <f>+H35/D35</f>
        <v>1587.9271696140015</v>
      </c>
      <c r="M35" s="10">
        <f t="shared" si="22"/>
        <v>86744.44224959459</v>
      </c>
    </row>
    <row r="36" spans="1:13" ht="20.25" customHeight="1">
      <c r="A36" s="32" t="s">
        <v>61</v>
      </c>
      <c r="B36" s="54" t="s">
        <v>48</v>
      </c>
      <c r="C36" s="65" t="s">
        <v>237</v>
      </c>
      <c r="D36" s="8">
        <v>91</v>
      </c>
      <c r="E36" s="8">
        <v>70.44</v>
      </c>
      <c r="F36" s="45">
        <f t="shared" si="23"/>
        <v>5092932.450387476</v>
      </c>
      <c r="G36" s="45">
        <f t="shared" si="24"/>
        <v>1953341.6151391936</v>
      </c>
      <c r="H36" s="45">
        <f t="shared" si="25"/>
        <v>131393.00055535877</v>
      </c>
      <c r="I36" s="1">
        <f t="shared" si="8"/>
        <v>7177667.066082029</v>
      </c>
      <c r="J36" s="10">
        <f t="shared" si="26"/>
        <v>55966.29066359864</v>
      </c>
      <c r="K36" s="10">
        <f>+G36/D36</f>
        <v>21465.292474057074</v>
      </c>
      <c r="L36" s="10">
        <f>+H36/D36</f>
        <v>1443.8791269819644</v>
      </c>
      <c r="M36" s="10">
        <f t="shared" si="22"/>
        <v>78875.46226463768</v>
      </c>
    </row>
    <row r="37" spans="1:13" ht="20.25" customHeight="1">
      <c r="A37" s="32" t="s">
        <v>61</v>
      </c>
      <c r="B37" s="54"/>
      <c r="C37" s="65" t="s">
        <v>455</v>
      </c>
      <c r="D37" s="8">
        <v>8</v>
      </c>
      <c r="E37" s="8">
        <v>3.78</v>
      </c>
      <c r="F37" s="45">
        <f t="shared" si="23"/>
        <v>273300.4636920025</v>
      </c>
      <c r="G37" s="45">
        <f t="shared" si="24"/>
        <v>104821.56878515265</v>
      </c>
      <c r="H37" s="45">
        <f t="shared" si="25"/>
        <v>7050.902074095063</v>
      </c>
      <c r="I37" s="1">
        <f t="shared" si="8"/>
        <v>385172.9345512502</v>
      </c>
      <c r="J37" s="10">
        <f t="shared" si="26"/>
        <v>34162.557961500315</v>
      </c>
      <c r="K37" s="10">
        <f>+G37/D37</f>
        <v>13102.69609814408</v>
      </c>
      <c r="L37" s="10">
        <f>+H37/D37</f>
        <v>881.3627592618828</v>
      </c>
      <c r="M37" s="10">
        <f t="shared" si="22"/>
        <v>48146.616818906274</v>
      </c>
    </row>
    <row r="38" spans="1:13" ht="20.25" customHeight="1" thickBot="1">
      <c r="A38" s="54" t="s">
        <v>61</v>
      </c>
      <c r="B38" s="54" t="s">
        <v>53</v>
      </c>
      <c r="C38" s="54" t="s">
        <v>54</v>
      </c>
      <c r="D38" s="8">
        <v>141</v>
      </c>
      <c r="E38" s="8">
        <v>140.92</v>
      </c>
      <c r="F38" s="66">
        <f t="shared" si="23"/>
        <v>10188756.96917381</v>
      </c>
      <c r="G38" s="66">
        <f t="shared" si="24"/>
        <v>3907792.453228495</v>
      </c>
      <c r="H38" s="66">
        <f t="shared" si="25"/>
        <v>262860.61383107834</v>
      </c>
      <c r="I38" s="8">
        <f t="shared" si="8"/>
        <v>14359410.036233382</v>
      </c>
      <c r="J38" s="62">
        <f t="shared" si="26"/>
        <v>72260.68772463694</v>
      </c>
      <c r="K38" s="62">
        <f>+G38/D38</f>
        <v>27714.840093819115</v>
      </c>
      <c r="L38" s="62">
        <f>+H38/D38</f>
        <v>1864.2596725608394</v>
      </c>
      <c r="M38" s="62">
        <f t="shared" si="22"/>
        <v>101839.7874910169</v>
      </c>
    </row>
    <row r="39" spans="1:13" s="35" customFormat="1" ht="20.25" customHeight="1" thickBot="1" thickTop="1">
      <c r="A39" s="55"/>
      <c r="B39" s="55"/>
      <c r="C39" s="56" t="s">
        <v>138</v>
      </c>
      <c r="D39" s="57">
        <f>SUM(D33:D38)</f>
        <v>469</v>
      </c>
      <c r="E39" s="57">
        <f>SUM(E33:E38)</f>
        <v>423.51</v>
      </c>
      <c r="F39" s="57">
        <f>SUM(F33:F38)</f>
        <v>30620497.190000005</v>
      </c>
      <c r="G39" s="57">
        <f>SUM(G33:G38)</f>
        <v>11744175.29</v>
      </c>
      <c r="H39" s="57">
        <f>SUM(H33:H38)</f>
        <v>789980.8300000001</v>
      </c>
      <c r="I39" s="57">
        <f t="shared" si="8"/>
        <v>43154653.31</v>
      </c>
      <c r="J39" s="57">
        <f>+F39/D39</f>
        <v>65288.90658848615</v>
      </c>
      <c r="K39" s="57">
        <f t="shared" si="20"/>
        <v>25040.885479744134</v>
      </c>
      <c r="L39" s="57">
        <f t="shared" si="21"/>
        <v>1684.3940938166313</v>
      </c>
      <c r="M39" s="57">
        <f>SUM(J39:L39)</f>
        <v>92014.18616204691</v>
      </c>
    </row>
    <row r="40" spans="1:13" ht="20.25" customHeight="1" thickTop="1">
      <c r="A40" s="58" t="s">
        <v>63</v>
      </c>
      <c r="B40" s="58" t="s">
        <v>59</v>
      </c>
      <c r="C40" s="58" t="s">
        <v>62</v>
      </c>
      <c r="D40" s="10">
        <v>614</v>
      </c>
      <c r="E40" s="10">
        <v>447.19</v>
      </c>
      <c r="F40" s="45">
        <f>80790130.12*E40/$E$47</f>
        <v>21660574.294256866</v>
      </c>
      <c r="G40" s="45">
        <f>56684429.76*E40/$E$47</f>
        <v>15197615.108681604</v>
      </c>
      <c r="H40" s="45">
        <f>4033782.93*E40/$E$47</f>
        <v>1081494.1715329688</v>
      </c>
      <c r="I40" s="10">
        <f t="shared" si="8"/>
        <v>37939683.57447144</v>
      </c>
      <c r="J40" s="10">
        <f>+F40/D40</f>
        <v>35277.80829683529</v>
      </c>
      <c r="K40" s="10">
        <f t="shared" si="20"/>
        <v>24751.816137917922</v>
      </c>
      <c r="L40" s="10">
        <f t="shared" si="21"/>
        <v>1761.3911588484834</v>
      </c>
      <c r="M40" s="10">
        <f>SUM(J40:L40)</f>
        <v>61791.015593601696</v>
      </c>
    </row>
    <row r="41" spans="1:13" ht="20.25" customHeight="1">
      <c r="A41" s="32" t="s">
        <v>63</v>
      </c>
      <c r="B41" s="32" t="s">
        <v>59</v>
      </c>
      <c r="C41" s="32" t="s">
        <v>64</v>
      </c>
      <c r="D41" s="1">
        <v>325</v>
      </c>
      <c r="E41" s="1">
        <v>267.28</v>
      </c>
      <c r="F41" s="45">
        <f aca="true" t="shared" si="27" ref="F41:F46">80790130.12*E41/$E$47</f>
        <v>12946260.64395218</v>
      </c>
      <c r="G41" s="45">
        <f aca="true" t="shared" si="28" ref="G41:G46">56684429.76*E41/$E$47</f>
        <v>9083428.892078131</v>
      </c>
      <c r="H41" s="45">
        <f aca="true" t="shared" si="29" ref="H41:H46">4033782.93*E41/$E$47</f>
        <v>646395.8544854132</v>
      </c>
      <c r="I41" s="1">
        <f t="shared" si="8"/>
        <v>22676085.390515726</v>
      </c>
      <c r="J41" s="10">
        <f aca="true" t="shared" si="30" ref="J41:J46">+F41/D41</f>
        <v>39834.648135237476</v>
      </c>
      <c r="K41" s="10">
        <f aca="true" t="shared" si="31" ref="K41:K46">+G41/D41</f>
        <v>27949.01197562502</v>
      </c>
      <c r="L41" s="10">
        <f aca="true" t="shared" si="32" ref="L41:L46">+H41/D41</f>
        <v>1988.910321493579</v>
      </c>
      <c r="M41" s="10">
        <f aca="true" t="shared" si="33" ref="M41:M46">SUM(J41:L41)</f>
        <v>69772.57043235606</v>
      </c>
    </row>
    <row r="42" spans="1:13" ht="20.25" customHeight="1">
      <c r="A42" s="32" t="s">
        <v>63</v>
      </c>
      <c r="B42" s="32" t="s">
        <v>71</v>
      </c>
      <c r="C42" s="32" t="s">
        <v>65</v>
      </c>
      <c r="D42" s="1">
        <v>170</v>
      </c>
      <c r="E42" s="1">
        <v>129.72</v>
      </c>
      <c r="F42" s="45">
        <f t="shared" si="27"/>
        <v>6283256.999152488</v>
      </c>
      <c r="G42" s="45">
        <f t="shared" si="28"/>
        <v>4408494.447322565</v>
      </c>
      <c r="H42" s="45">
        <f t="shared" si="29"/>
        <v>313717.7126752761</v>
      </c>
      <c r="I42" s="1">
        <f t="shared" si="8"/>
        <v>11005469.159150328</v>
      </c>
      <c r="J42" s="10">
        <f t="shared" si="30"/>
        <v>36960.33528913228</v>
      </c>
      <c r="K42" s="10">
        <f t="shared" si="31"/>
        <v>25932.32027836803</v>
      </c>
      <c r="L42" s="10">
        <f t="shared" si="32"/>
        <v>1845.3983098545652</v>
      </c>
      <c r="M42" s="10">
        <f t="shared" si="33"/>
        <v>64738.053877354876</v>
      </c>
    </row>
    <row r="43" spans="1:13" ht="20.25" customHeight="1">
      <c r="A43" s="32" t="s">
        <v>63</v>
      </c>
      <c r="B43" s="32" t="s">
        <v>59</v>
      </c>
      <c r="C43" s="32" t="s">
        <v>66</v>
      </c>
      <c r="D43" s="1">
        <v>266</v>
      </c>
      <c r="E43" s="1">
        <v>183.44</v>
      </c>
      <c r="F43" s="45">
        <f t="shared" si="27"/>
        <v>8885296.514990227</v>
      </c>
      <c r="G43" s="45">
        <f t="shared" si="28"/>
        <v>6234152.184835426</v>
      </c>
      <c r="H43" s="45">
        <f t="shared" si="29"/>
        <v>443635.34700241016</v>
      </c>
      <c r="I43" s="1">
        <f t="shared" si="8"/>
        <v>15563084.046828061</v>
      </c>
      <c r="J43" s="10">
        <f t="shared" si="30"/>
        <v>33403.37035710612</v>
      </c>
      <c r="K43" s="10">
        <f t="shared" si="31"/>
        <v>23436.66234900536</v>
      </c>
      <c r="L43" s="10">
        <f t="shared" si="32"/>
        <v>1667.8020564000383</v>
      </c>
      <c r="M43" s="10">
        <f t="shared" si="33"/>
        <v>58507.83476251152</v>
      </c>
    </row>
    <row r="44" spans="1:13" ht="20.25" customHeight="1">
      <c r="A44" s="54" t="s">
        <v>63</v>
      </c>
      <c r="B44" s="54" t="s">
        <v>71</v>
      </c>
      <c r="C44" s="54" t="s">
        <v>67</v>
      </c>
      <c r="D44" s="1">
        <v>457</v>
      </c>
      <c r="E44" s="1">
        <v>323.75</v>
      </c>
      <c r="F44" s="45">
        <f t="shared" si="27"/>
        <v>15681502.108199337</v>
      </c>
      <c r="G44" s="45">
        <f t="shared" si="28"/>
        <v>11002544.536853842</v>
      </c>
      <c r="H44" s="45">
        <f t="shared" si="29"/>
        <v>782964.1495422497</v>
      </c>
      <c r="I44" s="1">
        <f t="shared" si="8"/>
        <v>27467010.794595428</v>
      </c>
      <c r="J44" s="10">
        <f t="shared" si="30"/>
        <v>34314.00898949527</v>
      </c>
      <c r="K44" s="10">
        <f t="shared" si="31"/>
        <v>24075.589796179087</v>
      </c>
      <c r="L44" s="10">
        <f t="shared" si="32"/>
        <v>1713.2694738342445</v>
      </c>
      <c r="M44" s="10">
        <f t="shared" si="33"/>
        <v>60102.86825950861</v>
      </c>
    </row>
    <row r="45" spans="1:13" ht="20.25" customHeight="1">
      <c r="A45" s="54" t="s">
        <v>63</v>
      </c>
      <c r="B45" s="32" t="s">
        <v>59</v>
      </c>
      <c r="C45" s="32" t="s">
        <v>247</v>
      </c>
      <c r="D45" s="1">
        <v>99</v>
      </c>
      <c r="E45" s="1">
        <v>83.17</v>
      </c>
      <c r="F45" s="45">
        <f t="shared" si="27"/>
        <v>4028511.290622205</v>
      </c>
      <c r="G45" s="45">
        <f t="shared" si="28"/>
        <v>2826506.962564121</v>
      </c>
      <c r="H45" s="45">
        <f t="shared" si="29"/>
        <v>201140.1646870391</v>
      </c>
      <c r="I45" s="1">
        <f t="shared" si="8"/>
        <v>7056158.417873366</v>
      </c>
      <c r="J45" s="10">
        <f t="shared" si="30"/>
        <v>40692.03323860813</v>
      </c>
      <c r="K45" s="10">
        <f t="shared" si="31"/>
        <v>28550.575379435566</v>
      </c>
      <c r="L45" s="10">
        <f t="shared" si="32"/>
        <v>2031.7188352226171</v>
      </c>
      <c r="M45" s="10">
        <f t="shared" si="33"/>
        <v>71274.32745326632</v>
      </c>
    </row>
    <row r="46" spans="1:13" ht="20.25" customHeight="1" thickBot="1">
      <c r="A46" s="54" t="s">
        <v>63</v>
      </c>
      <c r="B46" s="54" t="s">
        <v>71</v>
      </c>
      <c r="C46" s="54" t="s">
        <v>248</v>
      </c>
      <c r="D46" s="8">
        <v>296</v>
      </c>
      <c r="E46" s="8">
        <v>233.39</v>
      </c>
      <c r="F46" s="66">
        <f t="shared" si="27"/>
        <v>11304728.268826695</v>
      </c>
      <c r="G46" s="66">
        <f t="shared" si="28"/>
        <v>7931687.627664304</v>
      </c>
      <c r="H46" s="66">
        <f t="shared" si="29"/>
        <v>564435.530074643</v>
      </c>
      <c r="I46" s="8">
        <f t="shared" si="8"/>
        <v>19800851.42656564</v>
      </c>
      <c r="J46" s="62">
        <f t="shared" si="30"/>
        <v>38191.64955684694</v>
      </c>
      <c r="K46" s="62">
        <f t="shared" si="31"/>
        <v>26796.24198535238</v>
      </c>
      <c r="L46" s="62">
        <f t="shared" si="32"/>
        <v>1906.8767907927127</v>
      </c>
      <c r="M46" s="62">
        <f t="shared" si="33"/>
        <v>66894.76833299203</v>
      </c>
    </row>
    <row r="47" spans="1:13" s="35" customFormat="1" ht="20.25" customHeight="1" thickBot="1" thickTop="1">
      <c r="A47" s="55"/>
      <c r="B47" s="55"/>
      <c r="C47" s="56" t="s">
        <v>139</v>
      </c>
      <c r="D47" s="57">
        <f>SUM(D40:D46)</f>
        <v>2227</v>
      </c>
      <c r="E47" s="57">
        <f>SUM(E40:E46)</f>
        <v>1667.94</v>
      </c>
      <c r="F47" s="57">
        <f>SUM(F40:F46)</f>
        <v>80790130.11999999</v>
      </c>
      <c r="G47" s="57">
        <f>SUM(G40:G46)</f>
        <v>56684429.75999999</v>
      </c>
      <c r="H47" s="57">
        <f>SUM(H40:H46)</f>
        <v>4033782.9300000006</v>
      </c>
      <c r="I47" s="57">
        <f t="shared" si="8"/>
        <v>141508342.81</v>
      </c>
      <c r="J47" s="57">
        <f aca="true" t="shared" si="34" ref="J47:J52">+F47/D47</f>
        <v>36277.561796138296</v>
      </c>
      <c r="K47" s="57">
        <f aca="true" t="shared" si="35" ref="K47:K52">+G47/D47</f>
        <v>25453.268863942518</v>
      </c>
      <c r="L47" s="57">
        <f aca="true" t="shared" si="36" ref="L47:L52">+H47/D47</f>
        <v>1811.3080062864844</v>
      </c>
      <c r="M47" s="57">
        <f aca="true" t="shared" si="37" ref="M47:M52">SUM(J47:L47)</f>
        <v>63542.1386663673</v>
      </c>
    </row>
    <row r="48" spans="1:13" ht="20.25" customHeight="1" thickTop="1">
      <c r="A48" s="58" t="s">
        <v>69</v>
      </c>
      <c r="B48" s="58" t="s">
        <v>68</v>
      </c>
      <c r="C48" s="253" t="s">
        <v>526</v>
      </c>
      <c r="D48" s="10">
        <v>13</v>
      </c>
      <c r="E48" s="10">
        <v>9.33</v>
      </c>
      <c r="F48" s="45">
        <f>8575081.92*E48/$E$51</f>
        <v>812486.1817162588</v>
      </c>
      <c r="G48" s="45">
        <f>6054210.06*E48/$E$51</f>
        <v>573634.4049944145</v>
      </c>
      <c r="H48" s="45">
        <f>212306.73*E48/$E$51</f>
        <v>20115.992595714433</v>
      </c>
      <c r="I48" s="10">
        <f t="shared" si="8"/>
        <v>1406236.5793063878</v>
      </c>
      <c r="J48" s="10">
        <f t="shared" si="34"/>
        <v>62498.93705509683</v>
      </c>
      <c r="K48" s="10">
        <f t="shared" si="35"/>
        <v>44125.72346110881</v>
      </c>
      <c r="L48" s="10">
        <f t="shared" si="36"/>
        <v>1547.384045824187</v>
      </c>
      <c r="M48" s="10">
        <f t="shared" si="37"/>
        <v>108172.04456202984</v>
      </c>
    </row>
    <row r="49" spans="1:13" ht="20.25" customHeight="1">
      <c r="A49" s="32" t="s">
        <v>69</v>
      </c>
      <c r="B49" s="58" t="s">
        <v>68</v>
      </c>
      <c r="C49" s="253" t="s">
        <v>527</v>
      </c>
      <c r="D49" s="1">
        <v>91</v>
      </c>
      <c r="E49" s="1">
        <v>73.42</v>
      </c>
      <c r="F49" s="24">
        <f>8575081.92*E49/$E$51</f>
        <v>6393647.959443486</v>
      </c>
      <c r="G49" s="24">
        <f>6054210.06*E49/$E$51</f>
        <v>4514066.239516604</v>
      </c>
      <c r="H49" s="24">
        <f>212306.73*E49/$E$51</f>
        <v>158297.5537381944</v>
      </c>
      <c r="I49" s="1">
        <f t="shared" si="8"/>
        <v>11066011.752698284</v>
      </c>
      <c r="J49" s="10">
        <f t="shared" si="34"/>
        <v>70259.86768619216</v>
      </c>
      <c r="K49" s="10">
        <f>+G49/D49</f>
        <v>49605.12351117147</v>
      </c>
      <c r="L49" s="10">
        <f>+H49/D49</f>
        <v>1739.5335575625759</v>
      </c>
      <c r="M49" s="10">
        <f t="shared" si="37"/>
        <v>121604.5247549262</v>
      </c>
    </row>
    <row r="50" spans="1:13" ht="20.25" customHeight="1" thickBot="1">
      <c r="A50" s="54" t="s">
        <v>69</v>
      </c>
      <c r="B50" s="58" t="s">
        <v>68</v>
      </c>
      <c r="C50" s="253" t="s">
        <v>528</v>
      </c>
      <c r="D50" s="8">
        <v>20</v>
      </c>
      <c r="E50" s="8">
        <v>15.72</v>
      </c>
      <c r="F50" s="213">
        <f>8575081.92*E50/$E$51</f>
        <v>1368947.7788402562</v>
      </c>
      <c r="G50" s="213">
        <f>6054210.06*E50/$E$51</f>
        <v>966509.4154889814</v>
      </c>
      <c r="H50" s="213">
        <f>212306.73*E50/$E$51</f>
        <v>33893.1836660912</v>
      </c>
      <c r="I50" s="8">
        <f t="shared" si="8"/>
        <v>2369350.377995329</v>
      </c>
      <c r="J50" s="62">
        <f t="shared" si="34"/>
        <v>68447.38894201281</v>
      </c>
      <c r="K50" s="62">
        <f>+G50/D50</f>
        <v>48325.47077444907</v>
      </c>
      <c r="L50" s="62">
        <f>+H50/D50</f>
        <v>1694.65918330456</v>
      </c>
      <c r="M50" s="62">
        <f t="shared" si="37"/>
        <v>118467.51889976644</v>
      </c>
    </row>
    <row r="51" spans="1:13" s="35" customFormat="1" ht="20.25" customHeight="1" thickBot="1" thickTop="1">
      <c r="A51" s="55"/>
      <c r="B51" s="55"/>
      <c r="C51" s="56" t="s">
        <v>140</v>
      </c>
      <c r="D51" s="57">
        <f>SUM(D48:D50)</f>
        <v>124</v>
      </c>
      <c r="E51" s="57">
        <f>SUM(E48:E50)</f>
        <v>98.47</v>
      </c>
      <c r="F51" s="57">
        <f>SUM(F48:F50)</f>
        <v>8575081.920000002</v>
      </c>
      <c r="G51" s="57">
        <f>SUM(G48:G50)</f>
        <v>6054210.06</v>
      </c>
      <c r="H51" s="57">
        <f>SUM(H48:H50)</f>
        <v>212306.73000000004</v>
      </c>
      <c r="I51" s="57">
        <f t="shared" si="8"/>
        <v>14841598.71</v>
      </c>
      <c r="J51" s="57">
        <f t="shared" si="34"/>
        <v>69153.88645161291</v>
      </c>
      <c r="K51" s="57">
        <f t="shared" si="35"/>
        <v>48824.27467741935</v>
      </c>
      <c r="L51" s="57">
        <f t="shared" si="36"/>
        <v>1712.151048387097</v>
      </c>
      <c r="M51" s="57">
        <f t="shared" si="37"/>
        <v>119690.31217741936</v>
      </c>
    </row>
    <row r="52" spans="1:14" ht="20.25" customHeight="1" thickTop="1">
      <c r="A52" s="58" t="s">
        <v>73</v>
      </c>
      <c r="B52" s="58" t="s">
        <v>68</v>
      </c>
      <c r="C52" s="58" t="s">
        <v>72</v>
      </c>
      <c r="D52" s="10">
        <f>166+66</f>
        <v>232</v>
      </c>
      <c r="E52" s="10">
        <f>141.31+52</f>
        <v>193.31</v>
      </c>
      <c r="F52" s="45">
        <f>35990386.22*E52/$E$62</f>
        <v>10861958.34663742</v>
      </c>
      <c r="G52" s="45">
        <f>28422242.66*E52/$E$62</f>
        <v>8577880.048405359</v>
      </c>
      <c r="H52" s="45">
        <f>1071960.53*E52/$E$62</f>
        <v>323519.4686415725</v>
      </c>
      <c r="I52" s="10">
        <f t="shared" si="8"/>
        <v>19763357.86368435</v>
      </c>
      <c r="J52" s="10">
        <f t="shared" si="34"/>
        <v>46818.78597688543</v>
      </c>
      <c r="K52" s="10">
        <f t="shared" si="35"/>
        <v>36973.62089829896</v>
      </c>
      <c r="L52" s="10">
        <f t="shared" si="36"/>
        <v>1394.4804682826402</v>
      </c>
      <c r="M52" s="10">
        <f t="shared" si="37"/>
        <v>85186.88734346702</v>
      </c>
      <c r="N52" s="6"/>
    </row>
    <row r="53" spans="1:13" ht="20.25" customHeight="1">
      <c r="A53" s="32" t="s">
        <v>73</v>
      </c>
      <c r="B53" s="32" t="s">
        <v>68</v>
      </c>
      <c r="C53" s="32" t="s">
        <v>74</v>
      </c>
      <c r="D53" s="1">
        <f>114+138</f>
        <v>252</v>
      </c>
      <c r="E53" s="1">
        <f>89.11+111.44</f>
        <v>200.55</v>
      </c>
      <c r="F53" s="45">
        <f>35990386.22*E53/$E$62</f>
        <v>11268769.057048962</v>
      </c>
      <c r="G53" s="45">
        <f>28422242.66*E53/$E$62</f>
        <v>8899145.640203273</v>
      </c>
      <c r="H53" s="45">
        <f>1071960.53*E53/$E$62</f>
        <v>335636.17731140327</v>
      </c>
      <c r="I53" s="1">
        <f t="shared" si="8"/>
        <v>20503550.874563638</v>
      </c>
      <c r="J53" s="10">
        <f aca="true" t="shared" si="38" ref="J53:J61">+F53/D53</f>
        <v>44717.33752797207</v>
      </c>
      <c r="K53" s="10">
        <f aca="true" t="shared" si="39" ref="K53:K61">+G53/D53</f>
        <v>35314.07000080664</v>
      </c>
      <c r="L53" s="10">
        <f aca="true" t="shared" si="40" ref="L53:L61">+H53/D53</f>
        <v>1331.8895925055685</v>
      </c>
      <c r="M53" s="10">
        <f aca="true" t="shared" si="41" ref="M53:M61">SUM(J53:L53)</f>
        <v>81363.29712128428</v>
      </c>
    </row>
    <row r="54" spans="1:13" ht="20.25" customHeight="1">
      <c r="A54" s="32" t="s">
        <v>73</v>
      </c>
      <c r="B54" s="32" t="s">
        <v>68</v>
      </c>
      <c r="C54" s="32" t="s">
        <v>75</v>
      </c>
      <c r="D54" s="1">
        <v>73</v>
      </c>
      <c r="E54" s="1">
        <v>70.17</v>
      </c>
      <c r="F54" s="45">
        <f aca="true" t="shared" si="42" ref="F54:F61">35990386.22*E54/$E$62</f>
        <v>3942804.91016268</v>
      </c>
      <c r="G54" s="45">
        <f aca="true" t="shared" si="43" ref="G54:G61">28422242.66*E54/$E$62</f>
        <v>3113702.5658093425</v>
      </c>
      <c r="H54" s="45">
        <f aca="true" t="shared" si="44" ref="H54:H61">1071960.53*E54/$E$62</f>
        <v>117435.00654171611</v>
      </c>
      <c r="I54" s="1">
        <f t="shared" si="8"/>
        <v>7173942.482513739</v>
      </c>
      <c r="J54" s="10">
        <f t="shared" si="38"/>
        <v>54011.02616661205</v>
      </c>
      <c r="K54" s="10">
        <f t="shared" si="39"/>
        <v>42653.45980560743</v>
      </c>
      <c r="L54" s="10">
        <f t="shared" si="40"/>
        <v>1608.6987197495357</v>
      </c>
      <c r="M54" s="10">
        <f t="shared" si="41"/>
        <v>98273.18469196901</v>
      </c>
    </row>
    <row r="55" spans="1:13" ht="20.25" customHeight="1">
      <c r="A55" s="32" t="s">
        <v>73</v>
      </c>
      <c r="B55" s="32" t="s">
        <v>68</v>
      </c>
      <c r="C55" s="32" t="s">
        <v>458</v>
      </c>
      <c r="D55" s="1">
        <v>5</v>
      </c>
      <c r="E55" s="1">
        <v>2.64</v>
      </c>
      <c r="F55" s="45">
        <f t="shared" si="42"/>
        <v>148339.81705614188</v>
      </c>
      <c r="G55" s="45">
        <f t="shared" si="43"/>
        <v>117146.56938487479</v>
      </c>
      <c r="H55" s="45">
        <f t="shared" si="44"/>
        <v>4418.247360269781</v>
      </c>
      <c r="I55" s="1">
        <f t="shared" si="8"/>
        <v>269904.63380128646</v>
      </c>
      <c r="J55" s="10">
        <f t="shared" si="38"/>
        <v>29667.963411228375</v>
      </c>
      <c r="K55" s="10">
        <f t="shared" si="39"/>
        <v>23429.313876974957</v>
      </c>
      <c r="L55" s="10">
        <f t="shared" si="40"/>
        <v>883.6494720539562</v>
      </c>
      <c r="M55" s="10">
        <f t="shared" si="41"/>
        <v>53980.92676025729</v>
      </c>
    </row>
    <row r="56" spans="1:13" ht="20.25" customHeight="1">
      <c r="A56" s="32" t="s">
        <v>73</v>
      </c>
      <c r="B56" s="32"/>
      <c r="C56" s="32" t="s">
        <v>214</v>
      </c>
      <c r="D56" s="1">
        <v>25</v>
      </c>
      <c r="E56" s="1">
        <v>21.22</v>
      </c>
      <c r="F56" s="45">
        <f t="shared" si="42"/>
        <v>1192337.4689133826</v>
      </c>
      <c r="G56" s="45">
        <f t="shared" si="43"/>
        <v>941609.9251314556</v>
      </c>
      <c r="H56" s="45">
        <f t="shared" si="44"/>
        <v>35513.336736713914</v>
      </c>
      <c r="I56" s="1">
        <f t="shared" si="8"/>
        <v>2169460.7307815524</v>
      </c>
      <c r="J56" s="10">
        <f t="shared" si="38"/>
        <v>47693.49875653531</v>
      </c>
      <c r="K56" s="10">
        <f t="shared" si="39"/>
        <v>37664.39700525822</v>
      </c>
      <c r="L56" s="10">
        <f t="shared" si="40"/>
        <v>1420.5334694685566</v>
      </c>
      <c r="M56" s="10">
        <f t="shared" si="41"/>
        <v>86778.4292312621</v>
      </c>
    </row>
    <row r="57" spans="1:13" ht="20.25" customHeight="1">
      <c r="A57" s="32" t="s">
        <v>73</v>
      </c>
      <c r="B57" s="32"/>
      <c r="C57" s="32" t="s">
        <v>456</v>
      </c>
      <c r="D57" s="1">
        <v>6</v>
      </c>
      <c r="E57" s="1">
        <v>3.33</v>
      </c>
      <c r="F57" s="45">
        <f t="shared" si="42"/>
        <v>187110.4510594517</v>
      </c>
      <c r="G57" s="45">
        <f t="shared" si="43"/>
        <v>147764.4227468307</v>
      </c>
      <c r="H57" s="45">
        <f t="shared" si="44"/>
        <v>5573.0165567039285</v>
      </c>
      <c r="I57" s="1">
        <f t="shared" si="8"/>
        <v>340447.89036298636</v>
      </c>
      <c r="J57" s="10">
        <f t="shared" si="38"/>
        <v>31185.075176575283</v>
      </c>
      <c r="K57" s="10">
        <f t="shared" si="39"/>
        <v>24627.40379113845</v>
      </c>
      <c r="L57" s="10">
        <f t="shared" si="40"/>
        <v>928.8360927839881</v>
      </c>
      <c r="M57" s="10">
        <f t="shared" si="41"/>
        <v>56741.31506049772</v>
      </c>
    </row>
    <row r="58" spans="1:13" ht="20.25" customHeight="1">
      <c r="A58" s="32" t="s">
        <v>73</v>
      </c>
      <c r="B58" s="32"/>
      <c r="C58" s="32" t="s">
        <v>457</v>
      </c>
      <c r="D58" s="1">
        <v>21</v>
      </c>
      <c r="E58" s="1">
        <v>11.83</v>
      </c>
      <c r="F58" s="45">
        <f t="shared" si="42"/>
        <v>664719.7105205145</v>
      </c>
      <c r="G58" s="45">
        <f t="shared" si="43"/>
        <v>524940.877205708</v>
      </c>
      <c r="H58" s="45">
        <f t="shared" si="44"/>
        <v>19798.434193936177</v>
      </c>
      <c r="I58" s="1">
        <f t="shared" si="8"/>
        <v>1209459.0219201585</v>
      </c>
      <c r="J58" s="10">
        <f t="shared" si="38"/>
        <v>31653.31954859593</v>
      </c>
      <c r="K58" s="10">
        <f t="shared" si="39"/>
        <v>24997.184628843235</v>
      </c>
      <c r="L58" s="10">
        <f t="shared" si="40"/>
        <v>942.7825806636274</v>
      </c>
      <c r="M58" s="10">
        <f t="shared" si="41"/>
        <v>57593.28675810279</v>
      </c>
    </row>
    <row r="59" spans="1:13" ht="20.25" customHeight="1">
      <c r="A59" s="32" t="s">
        <v>73</v>
      </c>
      <c r="B59" s="32" t="s">
        <v>68</v>
      </c>
      <c r="C59" s="32" t="s">
        <v>255</v>
      </c>
      <c r="D59" s="1">
        <v>74</v>
      </c>
      <c r="E59" s="1">
        <v>61.33</v>
      </c>
      <c r="F59" s="45">
        <f t="shared" si="42"/>
        <v>3446091.2803231752</v>
      </c>
      <c r="G59" s="45">
        <f t="shared" si="43"/>
        <v>2721439.05317211</v>
      </c>
      <c r="H59" s="45">
        <f t="shared" si="44"/>
        <v>102640.57219899456</v>
      </c>
      <c r="I59" s="1">
        <f t="shared" si="8"/>
        <v>6270170.90569428</v>
      </c>
      <c r="J59" s="10">
        <f t="shared" si="38"/>
        <v>46568.801085448315</v>
      </c>
      <c r="K59" s="10">
        <f t="shared" si="39"/>
        <v>36776.20342124473</v>
      </c>
      <c r="L59" s="10">
        <f t="shared" si="40"/>
        <v>1387.0347594458724</v>
      </c>
      <c r="M59" s="10">
        <f t="shared" si="41"/>
        <v>84732.03926613892</v>
      </c>
    </row>
    <row r="60" spans="1:13" ht="20.25" customHeight="1">
      <c r="A60" s="32" t="s">
        <v>73</v>
      </c>
      <c r="B60" s="32" t="s">
        <v>68</v>
      </c>
      <c r="C60" s="32" t="s">
        <v>133</v>
      </c>
      <c r="D60" s="1">
        <v>66</v>
      </c>
      <c r="E60" s="1">
        <v>60.36</v>
      </c>
      <c r="F60" s="24">
        <f t="shared" si="42"/>
        <v>3391587.635419972</v>
      </c>
      <c r="G60" s="45">
        <f t="shared" si="43"/>
        <v>2678396.5636632736</v>
      </c>
      <c r="H60" s="45">
        <f t="shared" si="44"/>
        <v>101017.20100980454</v>
      </c>
      <c r="I60" s="1">
        <f t="shared" si="8"/>
        <v>6171001.40009305</v>
      </c>
      <c r="J60" s="10">
        <f t="shared" si="38"/>
        <v>51387.69144575715</v>
      </c>
      <c r="K60" s="10">
        <f t="shared" si="39"/>
        <v>40581.76611611021</v>
      </c>
      <c r="L60" s="10">
        <f t="shared" si="40"/>
        <v>1530.5636516637053</v>
      </c>
      <c r="M60" s="10">
        <f t="shared" si="41"/>
        <v>93500.02121353106</v>
      </c>
    </row>
    <row r="61" spans="1:13" ht="20.25" customHeight="1" thickBot="1">
      <c r="A61" s="54" t="s">
        <v>73</v>
      </c>
      <c r="B61" s="54"/>
      <c r="C61" s="54" t="s">
        <v>178</v>
      </c>
      <c r="D61" s="229">
        <v>27</v>
      </c>
      <c r="E61" s="229">
        <v>15.78</v>
      </c>
      <c r="F61" s="230">
        <f t="shared" si="42"/>
        <v>886667.5428583026</v>
      </c>
      <c r="G61" s="66">
        <f t="shared" si="43"/>
        <v>700216.9942777742</v>
      </c>
      <c r="H61" s="66">
        <f t="shared" si="44"/>
        <v>26409.06944888528</v>
      </c>
      <c r="I61" s="8">
        <f t="shared" si="8"/>
        <v>1613293.6065849622</v>
      </c>
      <c r="J61" s="62">
        <f t="shared" si="38"/>
        <v>32839.53862438158</v>
      </c>
      <c r="K61" s="62">
        <f t="shared" si="39"/>
        <v>25933.962751028677</v>
      </c>
      <c r="L61" s="62">
        <f t="shared" si="40"/>
        <v>978.1136832920473</v>
      </c>
      <c r="M61" s="62">
        <f t="shared" si="41"/>
        <v>59751.6150587023</v>
      </c>
    </row>
    <row r="62" spans="1:13" s="35" customFormat="1" ht="20.25" customHeight="1" thickBot="1" thickTop="1">
      <c r="A62" s="55"/>
      <c r="B62" s="55"/>
      <c r="C62" s="56" t="s">
        <v>141</v>
      </c>
      <c r="D62" s="57">
        <f>SUM(D52:D61)</f>
        <v>781</v>
      </c>
      <c r="E62" s="57">
        <f>SUM(E52:E61)</f>
        <v>640.52</v>
      </c>
      <c r="F62" s="57">
        <f>SUM(F52:F61)</f>
        <v>35990386.22</v>
      </c>
      <c r="G62" s="57">
        <f>SUM(G52:G61)</f>
        <v>28422242.660000004</v>
      </c>
      <c r="H62" s="57">
        <f>SUM(H52:H61)</f>
        <v>1071960.5300000003</v>
      </c>
      <c r="I62" s="57">
        <f t="shared" si="8"/>
        <v>65484589.410000004</v>
      </c>
      <c r="J62" s="57">
        <f>+F62/D62</f>
        <v>46082.44074263764</v>
      </c>
      <c r="K62" s="57">
        <f>+G62/D62</f>
        <v>36392.11608194623</v>
      </c>
      <c r="L62" s="57">
        <f aca="true" t="shared" si="45" ref="L62:L75">+H62/D62</f>
        <v>1372.5486939820746</v>
      </c>
      <c r="M62" s="57">
        <f>SUM(J62:L62)</f>
        <v>83847.10551856595</v>
      </c>
    </row>
    <row r="63" spans="1:14" ht="20.25" customHeight="1" thickTop="1">
      <c r="A63" s="58" t="s">
        <v>76</v>
      </c>
      <c r="B63" s="58" t="s">
        <v>68</v>
      </c>
      <c r="C63" s="58" t="s">
        <v>77</v>
      </c>
      <c r="D63" s="10">
        <v>1</v>
      </c>
      <c r="E63" s="10">
        <v>0.31</v>
      </c>
      <c r="F63" s="45">
        <f>54806930.78*E63/$E$71</f>
        <v>31566.70669007673</v>
      </c>
      <c r="G63" s="45">
        <f>27089726.66*E63/$E$71</f>
        <v>15602.651774520185</v>
      </c>
      <c r="H63" s="45">
        <f>711667.92*E63/$E$71</f>
        <v>409.8936424948442</v>
      </c>
      <c r="I63" s="10">
        <f t="shared" si="8"/>
        <v>47579.25210709176</v>
      </c>
      <c r="J63" s="10">
        <f>+F63/D63</f>
        <v>31566.70669007673</v>
      </c>
      <c r="K63" s="10">
        <f aca="true" t="shared" si="46" ref="K63:K75">+G63/D63</f>
        <v>15602.651774520185</v>
      </c>
      <c r="L63" s="10">
        <f t="shared" si="45"/>
        <v>409.8936424948442</v>
      </c>
      <c r="M63" s="10">
        <f>SUM(J63:L63)</f>
        <v>47579.25210709176</v>
      </c>
      <c r="N63" s="6"/>
    </row>
    <row r="64" spans="1:13" ht="20.25" customHeight="1">
      <c r="A64" s="32" t="s">
        <v>76</v>
      </c>
      <c r="B64" s="32" t="s">
        <v>68</v>
      </c>
      <c r="C64" s="32" t="s">
        <v>78</v>
      </c>
      <c r="D64" s="1">
        <v>9</v>
      </c>
      <c r="E64" s="1">
        <v>7.69</v>
      </c>
      <c r="F64" s="45">
        <f aca="true" t="shared" si="47" ref="F64:F70">54806930.78*E64/$E$71</f>
        <v>783057.9820860971</v>
      </c>
      <c r="G64" s="45">
        <f aca="true" t="shared" si="48" ref="G64:G70">27089726.66*E64/$E$71</f>
        <v>387046.4262776137</v>
      </c>
      <c r="H64" s="45">
        <f aca="true" t="shared" si="49" ref="H64:H70">711667.92*E64/$E$71</f>
        <v>10168.006808985008</v>
      </c>
      <c r="I64" s="1">
        <f t="shared" si="8"/>
        <v>1180272.4151726959</v>
      </c>
      <c r="J64" s="10">
        <f aca="true" t="shared" si="50" ref="J64:J70">+F64/D64</f>
        <v>87006.44245401079</v>
      </c>
      <c r="K64" s="10">
        <f aca="true" t="shared" si="51" ref="K64:K70">+G64/D64</f>
        <v>43005.15847529041</v>
      </c>
      <c r="L64" s="10">
        <f aca="true" t="shared" si="52" ref="L64:L70">+H64/D64</f>
        <v>1129.7785343316675</v>
      </c>
      <c r="M64" s="10">
        <f aca="true" t="shared" si="53" ref="M64:M70">SUM(J64:L64)</f>
        <v>131141.37946363288</v>
      </c>
    </row>
    <row r="65" spans="1:13" ht="20.25" customHeight="1">
      <c r="A65" s="32" t="s">
        <v>76</v>
      </c>
      <c r="B65" s="32" t="s">
        <v>68</v>
      </c>
      <c r="C65" s="32" t="s">
        <v>79</v>
      </c>
      <c r="D65" s="1">
        <v>9</v>
      </c>
      <c r="E65" s="1">
        <v>6.03</v>
      </c>
      <c r="F65" s="45">
        <f t="shared" si="47"/>
        <v>614023.3591650409</v>
      </c>
      <c r="G65" s="45">
        <f t="shared" si="48"/>
        <v>303496.7425817959</v>
      </c>
      <c r="H65" s="45">
        <f t="shared" si="49"/>
        <v>7973.092465302939</v>
      </c>
      <c r="I65" s="1">
        <f t="shared" si="8"/>
        <v>925493.1942121397</v>
      </c>
      <c r="J65" s="10">
        <f t="shared" si="50"/>
        <v>68224.81768500454</v>
      </c>
      <c r="K65" s="10">
        <f t="shared" si="51"/>
        <v>33721.86028686621</v>
      </c>
      <c r="L65" s="10">
        <f t="shared" si="52"/>
        <v>885.8991628114377</v>
      </c>
      <c r="M65" s="10">
        <f t="shared" si="53"/>
        <v>102832.57713468219</v>
      </c>
    </row>
    <row r="66" spans="1:13" ht="20.25" customHeight="1">
      <c r="A66" s="32" t="s">
        <v>76</v>
      </c>
      <c r="B66" s="32" t="s">
        <v>68</v>
      </c>
      <c r="C66" s="32" t="s">
        <v>80</v>
      </c>
      <c r="D66" s="1">
        <f>3+230</f>
        <v>233</v>
      </c>
      <c r="E66" s="1">
        <f>2.67+217.03</f>
        <v>219.7</v>
      </c>
      <c r="F66" s="45">
        <f t="shared" si="47"/>
        <v>22371630.51551567</v>
      </c>
      <c r="G66" s="45">
        <f t="shared" si="48"/>
        <v>11057750.306006724</v>
      </c>
      <c r="H66" s="45">
        <f t="shared" si="49"/>
        <v>290495.59114876535</v>
      </c>
      <c r="I66" s="1">
        <f t="shared" si="8"/>
        <v>33719876.412671156</v>
      </c>
      <c r="J66" s="10">
        <f t="shared" si="50"/>
        <v>96015.58161165523</v>
      </c>
      <c r="K66" s="10">
        <f t="shared" si="51"/>
        <v>47458.155819771346</v>
      </c>
      <c r="L66" s="10">
        <f t="shared" si="52"/>
        <v>1246.762193771525</v>
      </c>
      <c r="M66" s="10">
        <f t="shared" si="53"/>
        <v>144720.4996251981</v>
      </c>
    </row>
    <row r="67" spans="1:13" ht="20.25" customHeight="1">
      <c r="A67" s="32" t="s">
        <v>76</v>
      </c>
      <c r="B67" s="32" t="s">
        <v>68</v>
      </c>
      <c r="C67" s="32" t="s">
        <v>172</v>
      </c>
      <c r="D67" s="1">
        <v>15</v>
      </c>
      <c r="E67" s="1">
        <v>12.53</v>
      </c>
      <c r="F67" s="45">
        <f t="shared" si="47"/>
        <v>1275905.918795682</v>
      </c>
      <c r="G67" s="45">
        <f t="shared" si="48"/>
        <v>630649.1184991546</v>
      </c>
      <c r="H67" s="45">
        <f t="shared" si="49"/>
        <v>16567.636582130315</v>
      </c>
      <c r="I67" s="1">
        <f t="shared" si="8"/>
        <v>1923122.673876967</v>
      </c>
      <c r="J67" s="10">
        <f t="shared" si="50"/>
        <v>85060.3945863788</v>
      </c>
      <c r="K67" s="10">
        <f t="shared" si="51"/>
        <v>42043.27456661031</v>
      </c>
      <c r="L67" s="10">
        <f t="shared" si="52"/>
        <v>1104.5091054753543</v>
      </c>
      <c r="M67" s="10">
        <f t="shared" si="53"/>
        <v>128208.17825846447</v>
      </c>
    </row>
    <row r="68" spans="1:13" ht="20.25" customHeight="1">
      <c r="A68" s="32" t="s">
        <v>76</v>
      </c>
      <c r="B68" s="32" t="s">
        <v>81</v>
      </c>
      <c r="C68" s="32" t="s">
        <v>82</v>
      </c>
      <c r="D68" s="1">
        <v>143</v>
      </c>
      <c r="E68" s="1">
        <v>132.28</v>
      </c>
      <c r="F68" s="45">
        <f t="shared" si="47"/>
        <v>13469819.228914034</v>
      </c>
      <c r="G68" s="45">
        <f t="shared" si="48"/>
        <v>6657802.505592033</v>
      </c>
      <c r="H68" s="45">
        <f t="shared" si="49"/>
        <v>174905.58396521935</v>
      </c>
      <c r="I68" s="1">
        <f t="shared" si="8"/>
        <v>20302527.318471286</v>
      </c>
      <c r="J68" s="10">
        <f t="shared" si="50"/>
        <v>94194.5400623359</v>
      </c>
      <c r="K68" s="10">
        <f t="shared" si="51"/>
        <v>46558.05947966457</v>
      </c>
      <c r="L68" s="10">
        <f t="shared" si="52"/>
        <v>1223.1159717847506</v>
      </c>
      <c r="M68" s="10">
        <f t="shared" si="53"/>
        <v>141975.71551378522</v>
      </c>
    </row>
    <row r="69" spans="1:13" ht="20.25" customHeight="1">
      <c r="A69" s="32" t="s">
        <v>76</v>
      </c>
      <c r="B69" s="32" t="s">
        <v>59</v>
      </c>
      <c r="C69" s="32" t="s">
        <v>210</v>
      </c>
      <c r="D69" s="1">
        <v>103</v>
      </c>
      <c r="E69" s="1">
        <v>97.72</v>
      </c>
      <c r="F69" s="45">
        <f t="shared" si="47"/>
        <v>9950640.573400961</v>
      </c>
      <c r="G69" s="45">
        <f t="shared" si="48"/>
        <v>4918358.488406815</v>
      </c>
      <c r="H69" s="45">
        <f t="shared" si="49"/>
        <v>129209.05401482637</v>
      </c>
      <c r="I69" s="1">
        <f t="shared" si="8"/>
        <v>14998208.115822602</v>
      </c>
      <c r="J69" s="10">
        <f t="shared" si="50"/>
        <v>96608.16090680545</v>
      </c>
      <c r="K69" s="10">
        <f t="shared" si="51"/>
        <v>47751.053285503054</v>
      </c>
      <c r="L69" s="10">
        <f t="shared" si="52"/>
        <v>1254.4568350954016</v>
      </c>
      <c r="M69" s="10">
        <f t="shared" si="53"/>
        <v>145613.6710274039</v>
      </c>
    </row>
    <row r="70" spans="1:13" ht="20.25" customHeight="1" thickBot="1">
      <c r="A70" s="54" t="s">
        <v>76</v>
      </c>
      <c r="B70" s="54" t="s">
        <v>83</v>
      </c>
      <c r="C70" s="54" t="s">
        <v>84</v>
      </c>
      <c r="D70" s="8">
        <v>67</v>
      </c>
      <c r="E70" s="8">
        <v>61.97</v>
      </c>
      <c r="F70" s="66">
        <f t="shared" si="47"/>
        <v>6310286.4954324365</v>
      </c>
      <c r="G70" s="66">
        <f t="shared" si="48"/>
        <v>3119020.4208613415</v>
      </c>
      <c r="H70" s="66">
        <f t="shared" si="49"/>
        <v>81939.0613722758</v>
      </c>
      <c r="I70" s="8">
        <f t="shared" si="8"/>
        <v>9511245.977666054</v>
      </c>
      <c r="J70" s="62">
        <f t="shared" si="50"/>
        <v>94183.38052884233</v>
      </c>
      <c r="K70" s="62">
        <f t="shared" si="51"/>
        <v>46552.5435949454</v>
      </c>
      <c r="L70" s="62">
        <f t="shared" si="52"/>
        <v>1222.9710652578478</v>
      </c>
      <c r="M70" s="62">
        <f t="shared" si="53"/>
        <v>141958.89518904558</v>
      </c>
    </row>
    <row r="71" spans="1:13" s="35" customFormat="1" ht="20.25" customHeight="1" thickBot="1" thickTop="1">
      <c r="A71" s="55"/>
      <c r="B71" s="55"/>
      <c r="C71" s="56" t="s">
        <v>142</v>
      </c>
      <c r="D71" s="57">
        <f>SUM(D63:D70)</f>
        <v>580</v>
      </c>
      <c r="E71" s="57">
        <f>SUM(E63:E70)</f>
        <v>538.23</v>
      </c>
      <c r="F71" s="57">
        <f>SUM(F63:F70)</f>
        <v>54806930.78</v>
      </c>
      <c r="G71" s="57">
        <f>SUM(G63:G70)</f>
        <v>27089726.659999996</v>
      </c>
      <c r="H71" s="57">
        <f>SUM(H63:H70)</f>
        <v>711667.92</v>
      </c>
      <c r="I71" s="57">
        <f t="shared" si="8"/>
        <v>82608325.36</v>
      </c>
      <c r="J71" s="57">
        <f>+F71/D71</f>
        <v>94494.70824137931</v>
      </c>
      <c r="K71" s="57">
        <f t="shared" si="46"/>
        <v>46706.425275862064</v>
      </c>
      <c r="L71" s="57">
        <f t="shared" si="45"/>
        <v>1227.0136551724138</v>
      </c>
      <c r="M71" s="57">
        <f>SUM(J71:L71)</f>
        <v>142428.1471724138</v>
      </c>
    </row>
    <row r="72" spans="1:13" ht="20.25" customHeight="1" thickTop="1">
      <c r="A72" s="58" t="s">
        <v>85</v>
      </c>
      <c r="B72" s="58" t="s">
        <v>68</v>
      </c>
      <c r="C72" s="58" t="s">
        <v>178</v>
      </c>
      <c r="D72" s="10">
        <v>92</v>
      </c>
      <c r="E72" s="10">
        <v>70.97</v>
      </c>
      <c r="F72" s="10">
        <f>32488655.19*E72/$E$80</f>
        <v>8054916.5374124</v>
      </c>
      <c r="G72" s="10">
        <f>12263471.25*E72/$E$80</f>
        <v>3040484.033580785</v>
      </c>
      <c r="H72" s="10">
        <f>563309.72*E72/$E$80</f>
        <v>139661.45267563316</v>
      </c>
      <c r="I72" s="10">
        <f t="shared" si="8"/>
        <v>11235062.023668818</v>
      </c>
      <c r="J72" s="10">
        <f>+F72/D72</f>
        <v>87553.44062404783</v>
      </c>
      <c r="K72" s="10">
        <f t="shared" si="46"/>
        <v>33048.73949544332</v>
      </c>
      <c r="L72" s="10">
        <f t="shared" si="45"/>
        <v>1518.059268213404</v>
      </c>
      <c r="M72" s="10">
        <f>SUM(J72:L72)</f>
        <v>122120.23938770455</v>
      </c>
    </row>
    <row r="73" spans="1:13" ht="20.25" customHeight="1">
      <c r="A73" s="32" t="s">
        <v>85</v>
      </c>
      <c r="B73" s="32" t="s">
        <v>68</v>
      </c>
      <c r="C73" s="32" t="s">
        <v>179</v>
      </c>
      <c r="D73" s="1">
        <v>49</v>
      </c>
      <c r="E73" s="1">
        <v>40.5</v>
      </c>
      <c r="F73" s="10">
        <f aca="true" t="shared" si="54" ref="F73:F79">32488655.19*E73/$E$80</f>
        <v>4596648.157886462</v>
      </c>
      <c r="G73" s="10">
        <f aca="true" t="shared" si="55" ref="G73:G79">12263471.25*E73/$E$80</f>
        <v>1735093.7489082967</v>
      </c>
      <c r="H73" s="10">
        <f aca="true" t="shared" si="56" ref="H73:H79">563309.72*E73/$E$80</f>
        <v>79699.71584279474</v>
      </c>
      <c r="I73" s="1">
        <f t="shared" si="8"/>
        <v>6411441.622637553</v>
      </c>
      <c r="J73" s="1">
        <f>+F73/D73</f>
        <v>93809.14607931556</v>
      </c>
      <c r="K73" s="1">
        <f t="shared" si="46"/>
        <v>35410.07650833258</v>
      </c>
      <c r="L73" s="1">
        <f t="shared" si="45"/>
        <v>1626.52481311826</v>
      </c>
      <c r="M73" s="1">
        <f>SUM(J73:L73)</f>
        <v>130845.7474007664</v>
      </c>
    </row>
    <row r="74" spans="1:13" ht="20.25" customHeight="1">
      <c r="A74" s="32" t="s">
        <v>85</v>
      </c>
      <c r="B74" s="32" t="s">
        <v>68</v>
      </c>
      <c r="C74" s="32" t="s">
        <v>215</v>
      </c>
      <c r="D74" s="1">
        <v>50</v>
      </c>
      <c r="E74" s="1">
        <v>44.39</v>
      </c>
      <c r="F74" s="10">
        <f t="shared" si="54"/>
        <v>5038153.376014322</v>
      </c>
      <c r="G74" s="10">
        <f t="shared" si="55"/>
        <v>1901748.4324454146</v>
      </c>
      <c r="H74" s="10">
        <f t="shared" si="56"/>
        <v>87354.82435213971</v>
      </c>
      <c r="I74" s="1">
        <f t="shared" si="8"/>
        <v>7027256.632811876</v>
      </c>
      <c r="J74" s="1">
        <f>+F74/D74</f>
        <v>100763.06752028644</v>
      </c>
      <c r="K74" s="1">
        <f t="shared" si="46"/>
        <v>38034.96864890829</v>
      </c>
      <c r="L74" s="1">
        <f t="shared" si="45"/>
        <v>1747.0964870427943</v>
      </c>
      <c r="M74" s="1">
        <f>SUM(J74:L74)</f>
        <v>140545.13265623752</v>
      </c>
    </row>
    <row r="75" spans="1:13" ht="20.25" customHeight="1">
      <c r="A75" s="32" t="s">
        <v>85</v>
      </c>
      <c r="B75" s="32" t="s">
        <v>238</v>
      </c>
      <c r="C75" s="32" t="s">
        <v>173</v>
      </c>
      <c r="D75" s="1">
        <v>60</v>
      </c>
      <c r="E75" s="1">
        <v>59</v>
      </c>
      <c r="F75" s="10">
        <f t="shared" si="54"/>
        <v>6696351.637414846</v>
      </c>
      <c r="G75" s="10">
        <f t="shared" si="55"/>
        <v>2527667.436681222</v>
      </c>
      <c r="H75" s="10">
        <f t="shared" si="56"/>
        <v>116105.75888209604</v>
      </c>
      <c r="I75" s="1">
        <f t="shared" si="8"/>
        <v>9340124.832978165</v>
      </c>
      <c r="J75" s="1">
        <f>+F75/D75</f>
        <v>111605.86062358077</v>
      </c>
      <c r="K75" s="1">
        <f t="shared" si="46"/>
        <v>42127.7906113537</v>
      </c>
      <c r="L75" s="1">
        <f t="shared" si="45"/>
        <v>1935.0959813682673</v>
      </c>
      <c r="M75" s="1">
        <f>SUM(J75:L75)</f>
        <v>155668.74721630273</v>
      </c>
    </row>
    <row r="76" spans="1:13" ht="20.25" customHeight="1">
      <c r="A76" s="32" t="s">
        <v>85</v>
      </c>
      <c r="B76" s="32" t="s">
        <v>238</v>
      </c>
      <c r="C76" s="32" t="s">
        <v>198</v>
      </c>
      <c r="D76" s="1">
        <v>65</v>
      </c>
      <c r="E76" s="1">
        <v>62.22</v>
      </c>
      <c r="F76" s="10">
        <f t="shared" si="54"/>
        <v>7061813.540338165</v>
      </c>
      <c r="G76" s="10">
        <f t="shared" si="55"/>
        <v>2665618.100174672</v>
      </c>
      <c r="H76" s="10">
        <f t="shared" si="56"/>
        <v>122442.3782651528</v>
      </c>
      <c r="I76" s="1">
        <f t="shared" si="8"/>
        <v>9849874.01877799</v>
      </c>
      <c r="J76" s="1">
        <f aca="true" t="shared" si="57" ref="J76:J136">+F76/D76</f>
        <v>108643.28523597177</v>
      </c>
      <c r="K76" s="1">
        <f aca="true" t="shared" si="58" ref="K76:K136">+G76/D76</f>
        <v>41009.50923345649</v>
      </c>
      <c r="L76" s="1">
        <f aca="true" t="shared" si="59" ref="L76:L136">+H76/D76</f>
        <v>1883.7288963869662</v>
      </c>
      <c r="M76" s="1">
        <f aca="true" t="shared" si="60" ref="M76:M136">SUM(J76:L76)</f>
        <v>151536.52336581523</v>
      </c>
    </row>
    <row r="77" spans="1:13" ht="20.25" customHeight="1">
      <c r="A77" s="32" t="s">
        <v>85</v>
      </c>
      <c r="B77" s="32" t="s">
        <v>238</v>
      </c>
      <c r="C77" s="32" t="s">
        <v>174</v>
      </c>
      <c r="D77" s="1">
        <v>2</v>
      </c>
      <c r="E77" s="1">
        <v>0.11</v>
      </c>
      <c r="F77" s="10">
        <f t="shared" si="54"/>
        <v>12484.72339179039</v>
      </c>
      <c r="G77" s="10">
        <f t="shared" si="55"/>
        <v>4712.600305676855</v>
      </c>
      <c r="H77" s="10">
        <f t="shared" si="56"/>
        <v>216.4683640174672</v>
      </c>
      <c r="I77" s="1">
        <f t="shared" si="8"/>
        <v>17413.792061484713</v>
      </c>
      <c r="J77" s="1">
        <f t="shared" si="57"/>
        <v>6242.361695895195</v>
      </c>
      <c r="K77" s="1">
        <f t="shared" si="58"/>
        <v>2356.3001528384275</v>
      </c>
      <c r="L77" s="1">
        <f t="shared" si="59"/>
        <v>108.2341820087336</v>
      </c>
      <c r="M77" s="1">
        <f t="shared" si="60"/>
        <v>8706.896030742357</v>
      </c>
    </row>
    <row r="78" spans="1:13" ht="20.25" customHeight="1">
      <c r="A78" s="32" t="s">
        <v>85</v>
      </c>
      <c r="B78" s="32" t="s">
        <v>238</v>
      </c>
      <c r="C78" s="32" t="s">
        <v>175</v>
      </c>
      <c r="D78" s="1">
        <v>1</v>
      </c>
      <c r="E78" s="1">
        <v>0.17</v>
      </c>
      <c r="F78" s="10">
        <f t="shared" si="54"/>
        <v>19294.57251458515</v>
      </c>
      <c r="G78" s="10">
        <f t="shared" si="55"/>
        <v>7283.109563318776</v>
      </c>
      <c r="H78" s="10">
        <f t="shared" si="56"/>
        <v>334.54201711790387</v>
      </c>
      <c r="I78" s="1">
        <f aca="true" t="shared" si="61" ref="I78:I139">+F78+G78+H78</f>
        <v>26912.22409502183</v>
      </c>
      <c r="J78" s="1">
        <f t="shared" si="57"/>
        <v>19294.57251458515</v>
      </c>
      <c r="K78" s="1">
        <f t="shared" si="58"/>
        <v>7283.109563318776</v>
      </c>
      <c r="L78" s="1">
        <f t="shared" si="59"/>
        <v>334.54201711790387</v>
      </c>
      <c r="M78" s="1">
        <f t="shared" si="60"/>
        <v>26912.22409502183</v>
      </c>
    </row>
    <row r="79" spans="1:13" ht="20.25" customHeight="1" thickBot="1">
      <c r="A79" s="54" t="s">
        <v>85</v>
      </c>
      <c r="B79" s="54" t="s">
        <v>238</v>
      </c>
      <c r="C79" s="54" t="s">
        <v>176</v>
      </c>
      <c r="D79" s="8">
        <v>9</v>
      </c>
      <c r="E79" s="8">
        <v>8.89</v>
      </c>
      <c r="F79" s="62">
        <f t="shared" si="54"/>
        <v>1008992.6450274234</v>
      </c>
      <c r="G79" s="62">
        <f t="shared" si="55"/>
        <v>380863.7883406113</v>
      </c>
      <c r="H79" s="62">
        <f t="shared" si="56"/>
        <v>17494.57960104803</v>
      </c>
      <c r="I79" s="8">
        <f t="shared" si="61"/>
        <v>1407351.0129690827</v>
      </c>
      <c r="J79" s="8">
        <f t="shared" si="57"/>
        <v>112110.29389193593</v>
      </c>
      <c r="K79" s="8">
        <f t="shared" si="58"/>
        <v>42318.19870451237</v>
      </c>
      <c r="L79" s="8">
        <f t="shared" si="59"/>
        <v>1943.8421778942256</v>
      </c>
      <c r="M79" s="8">
        <f t="shared" si="60"/>
        <v>156372.3347743425</v>
      </c>
    </row>
    <row r="80" spans="1:14" s="35" customFormat="1" ht="20.25" customHeight="1" thickBot="1" thickTop="1">
      <c r="A80" s="55"/>
      <c r="B80" s="55"/>
      <c r="C80" s="56" t="s">
        <v>142</v>
      </c>
      <c r="D80" s="57">
        <f>SUM(D72:D79)</f>
        <v>328</v>
      </c>
      <c r="E80" s="57">
        <f>SUM(E72:E79)</f>
        <v>286.25000000000006</v>
      </c>
      <c r="F80" s="57">
        <f>SUM(F72:F79)</f>
        <v>32488655.189999998</v>
      </c>
      <c r="G80" s="57">
        <f>SUM(G72:G79)</f>
        <v>12263471.249999996</v>
      </c>
      <c r="H80" s="57">
        <f>SUM(H72:H79)</f>
        <v>563309.7199999999</v>
      </c>
      <c r="I80" s="57">
        <f t="shared" si="61"/>
        <v>45315436.16</v>
      </c>
      <c r="J80" s="57">
        <f t="shared" si="57"/>
        <v>99050.77801829268</v>
      </c>
      <c r="K80" s="57">
        <f t="shared" si="58"/>
        <v>37388.63185975609</v>
      </c>
      <c r="L80" s="57">
        <f t="shared" si="59"/>
        <v>1717.4076829268288</v>
      </c>
      <c r="M80" s="57">
        <f t="shared" si="60"/>
        <v>138156.81756097559</v>
      </c>
      <c r="N80" s="53"/>
    </row>
    <row r="81" spans="1:13" s="209" customFormat="1" ht="21.75" customHeight="1" thickTop="1">
      <c r="A81" s="60" t="s">
        <v>196</v>
      </c>
      <c r="B81" s="59" t="s">
        <v>87</v>
      </c>
      <c r="C81" s="59" t="s">
        <v>211</v>
      </c>
      <c r="D81" s="193">
        <v>65</v>
      </c>
      <c r="E81" s="193">
        <v>57.97</v>
      </c>
      <c r="F81" s="45">
        <f>22793041.71*E81/$E$86</f>
        <v>2917513.3651189026</v>
      </c>
      <c r="G81" s="45">
        <f>9889646.25*E81/$E$86</f>
        <v>1265876.4669400956</v>
      </c>
      <c r="H81" s="45">
        <f>738828.17*E81/$E$86</f>
        <v>94570.13626907195</v>
      </c>
      <c r="I81" s="10">
        <f t="shared" si="61"/>
        <v>4277959.96832807</v>
      </c>
      <c r="J81" s="10">
        <f t="shared" si="57"/>
        <v>44884.821001829274</v>
      </c>
      <c r="K81" s="10">
        <f t="shared" si="58"/>
        <v>19475.022568309163</v>
      </c>
      <c r="L81" s="10">
        <f t="shared" si="59"/>
        <v>1454.9251733703377</v>
      </c>
      <c r="M81" s="10">
        <f t="shared" si="60"/>
        <v>65814.76874350877</v>
      </c>
    </row>
    <row r="82" spans="1:13" s="209" customFormat="1" ht="21.75" customHeight="1">
      <c r="A82" s="60" t="s">
        <v>196</v>
      </c>
      <c r="B82" s="34" t="s">
        <v>87</v>
      </c>
      <c r="C82" s="34" t="s">
        <v>199</v>
      </c>
      <c r="D82" s="12">
        <v>17</v>
      </c>
      <c r="E82" s="12">
        <v>17.83</v>
      </c>
      <c r="F82" s="45">
        <f>22793041.71*E82/$E$86</f>
        <v>897347.9955161297</v>
      </c>
      <c r="G82" s="45">
        <f>9889646.25*E82/$E$86</f>
        <v>389349.2738578904</v>
      </c>
      <c r="H82" s="45">
        <f>738828.17*E82/$E$86</f>
        <v>29087.209413102515</v>
      </c>
      <c r="I82" s="1">
        <f t="shared" si="61"/>
        <v>1315784.4787871225</v>
      </c>
      <c r="J82" s="1">
        <f t="shared" si="57"/>
        <v>52785.17620683116</v>
      </c>
      <c r="K82" s="1">
        <f t="shared" si="58"/>
        <v>22902.898462228848</v>
      </c>
      <c r="L82" s="1">
        <f t="shared" si="59"/>
        <v>1711.012318417795</v>
      </c>
      <c r="M82" s="1">
        <f t="shared" si="60"/>
        <v>77399.0869874778</v>
      </c>
    </row>
    <row r="83" spans="1:13" s="209" customFormat="1" ht="21.75" customHeight="1">
      <c r="A83" s="60" t="s">
        <v>196</v>
      </c>
      <c r="B83" s="34" t="s">
        <v>87</v>
      </c>
      <c r="C83" s="34" t="s">
        <v>200</v>
      </c>
      <c r="D83" s="12">
        <v>228</v>
      </c>
      <c r="E83" s="12">
        <v>210.06</v>
      </c>
      <c r="F83" s="45">
        <f>22793041.71*E83/$E$86</f>
        <v>10571896.799670117</v>
      </c>
      <c r="G83" s="45">
        <f>9889646.25*E83/$E$86</f>
        <v>4587027.956623021</v>
      </c>
      <c r="H83" s="45">
        <f>738828.17*E83/$E$86</f>
        <v>342684.1956991764</v>
      </c>
      <c r="I83" s="1">
        <f t="shared" si="61"/>
        <v>15501608.951992312</v>
      </c>
      <c r="J83" s="1">
        <f>+F83/D83</f>
        <v>46367.96841960578</v>
      </c>
      <c r="K83" s="1">
        <f>+G83/D83</f>
        <v>20118.543669399212</v>
      </c>
      <c r="L83" s="1">
        <f>+H83/D83</f>
        <v>1503.000858329721</v>
      </c>
      <c r="M83" s="1">
        <f>SUM(J83:L83)</f>
        <v>67989.5129473347</v>
      </c>
    </row>
    <row r="84" spans="1:13" s="209" customFormat="1" ht="21.75" customHeight="1">
      <c r="A84" s="60" t="s">
        <v>196</v>
      </c>
      <c r="B84" s="34" t="s">
        <v>87</v>
      </c>
      <c r="C84" s="34" t="s">
        <v>249</v>
      </c>
      <c r="D84" s="12">
        <v>70</v>
      </c>
      <c r="E84" s="12">
        <v>59.72</v>
      </c>
      <c r="F84" s="45">
        <f>22793041.71*E84/$E$86</f>
        <v>3005587.3411230096</v>
      </c>
      <c r="G84" s="45">
        <f>9889646.25*E84/$E$86</f>
        <v>1304090.7815363551</v>
      </c>
      <c r="H84" s="45">
        <f>738828.17*E84/$E$86</f>
        <v>97425.02221819866</v>
      </c>
      <c r="I84" s="1">
        <f t="shared" si="61"/>
        <v>4407103.144877563</v>
      </c>
      <c r="J84" s="1">
        <f>+F84/D84</f>
        <v>42936.96201604299</v>
      </c>
      <c r="K84" s="1">
        <f>+G84/D84</f>
        <v>18629.868307662215</v>
      </c>
      <c r="L84" s="1">
        <f>+H84/D84</f>
        <v>1391.7860316885524</v>
      </c>
      <c r="M84" s="1">
        <f>SUM(J84:L84)</f>
        <v>62958.61635539375</v>
      </c>
    </row>
    <row r="85" spans="1:13" s="209" customFormat="1" ht="21.75" customHeight="1" thickBot="1">
      <c r="A85" s="220" t="s">
        <v>196</v>
      </c>
      <c r="B85" s="221" t="s">
        <v>238</v>
      </c>
      <c r="C85" s="222" t="s">
        <v>134</v>
      </c>
      <c r="D85" s="38">
        <v>121</v>
      </c>
      <c r="E85" s="38">
        <v>107.31</v>
      </c>
      <c r="F85" s="66">
        <f>22793041.71*E85/$E$86</f>
        <v>5400696.208571838</v>
      </c>
      <c r="G85" s="66">
        <f>9889646.25*E85/$E$86</f>
        <v>2343301.771042637</v>
      </c>
      <c r="H85" s="66">
        <f>738828.17*E85/$E$86</f>
        <v>175061.60640045043</v>
      </c>
      <c r="I85" s="8">
        <f t="shared" si="61"/>
        <v>7919059.586014926</v>
      </c>
      <c r="J85" s="8">
        <f>+F85/D85</f>
        <v>44633.852963403624</v>
      </c>
      <c r="K85" s="8">
        <f>+G85/D85</f>
        <v>19366.130339195348</v>
      </c>
      <c r="L85" s="8">
        <f>+H85/D85</f>
        <v>1446.7901355409126</v>
      </c>
      <c r="M85" s="8">
        <f>SUM(J85:L85)</f>
        <v>65446.773438139884</v>
      </c>
    </row>
    <row r="86" spans="1:13" s="35" customFormat="1" ht="20.25" customHeight="1" thickBot="1" thickTop="1">
      <c r="A86" s="55"/>
      <c r="B86" s="55"/>
      <c r="C86" s="56" t="s">
        <v>143</v>
      </c>
      <c r="D86" s="57">
        <f>SUM(D81:D85)</f>
        <v>501</v>
      </c>
      <c r="E86" s="57">
        <f>SUM(E81:E85)</f>
        <v>452.89000000000004</v>
      </c>
      <c r="F86" s="57">
        <f>SUM(F81:F85)</f>
        <v>22793041.71</v>
      </c>
      <c r="G86" s="57">
        <f>SUM(G81:G85)</f>
        <v>9889646.25</v>
      </c>
      <c r="H86" s="57">
        <f>SUM(H81:H85)</f>
        <v>738828.1699999999</v>
      </c>
      <c r="I86" s="57">
        <f t="shared" si="61"/>
        <v>33421516.130000003</v>
      </c>
      <c r="J86" s="57">
        <f t="shared" si="57"/>
        <v>45495.093233532934</v>
      </c>
      <c r="K86" s="57">
        <f t="shared" si="58"/>
        <v>19739.812874251496</v>
      </c>
      <c r="L86" s="57">
        <f t="shared" si="59"/>
        <v>1474.7069261477045</v>
      </c>
      <c r="M86" s="57">
        <f t="shared" si="60"/>
        <v>66709.61303393214</v>
      </c>
    </row>
    <row r="87" spans="1:13" ht="20.25" customHeight="1" thickBot="1" thickTop="1">
      <c r="A87" s="61" t="s">
        <v>89</v>
      </c>
      <c r="B87" s="61" t="s">
        <v>160</v>
      </c>
      <c r="C87" s="61" t="s">
        <v>88</v>
      </c>
      <c r="D87" s="62">
        <v>259</v>
      </c>
      <c r="E87" s="62">
        <v>279.17</v>
      </c>
      <c r="F87" s="66">
        <v>34390053.16</v>
      </c>
      <c r="G87" s="66">
        <v>18359952.52</v>
      </c>
      <c r="H87" s="66">
        <v>985249.06</v>
      </c>
      <c r="I87" s="62">
        <f t="shared" si="61"/>
        <v>53735254.739999995</v>
      </c>
      <c r="J87" s="62">
        <f t="shared" si="57"/>
        <v>132780.128030888</v>
      </c>
      <c r="K87" s="62">
        <f t="shared" si="58"/>
        <v>70887.84756756757</v>
      </c>
      <c r="L87" s="62">
        <f t="shared" si="59"/>
        <v>3804.050424710425</v>
      </c>
      <c r="M87" s="62">
        <f t="shared" si="60"/>
        <v>207472.026023166</v>
      </c>
    </row>
    <row r="88" spans="1:13" s="35" customFormat="1" ht="20.25" customHeight="1" thickBot="1" thickTop="1">
      <c r="A88" s="55"/>
      <c r="B88" s="55"/>
      <c r="C88" s="56" t="s">
        <v>144</v>
      </c>
      <c r="D88" s="57">
        <f>SUM(D87)</f>
        <v>259</v>
      </c>
      <c r="E88" s="57">
        <f>SUM(E87)</f>
        <v>279.17</v>
      </c>
      <c r="F88" s="57">
        <f>SUM(F87)</f>
        <v>34390053.16</v>
      </c>
      <c r="G88" s="57">
        <f>SUM(G87)</f>
        <v>18359952.52</v>
      </c>
      <c r="H88" s="57">
        <f>SUM(H87)</f>
        <v>985249.06</v>
      </c>
      <c r="I88" s="57">
        <f t="shared" si="61"/>
        <v>53735254.739999995</v>
      </c>
      <c r="J88" s="57">
        <f t="shared" si="57"/>
        <v>132780.128030888</v>
      </c>
      <c r="K88" s="57">
        <f t="shared" si="58"/>
        <v>70887.84756756757</v>
      </c>
      <c r="L88" s="57">
        <f t="shared" si="59"/>
        <v>3804.050424710425</v>
      </c>
      <c r="M88" s="57">
        <f t="shared" si="60"/>
        <v>207472.026023166</v>
      </c>
    </row>
    <row r="89" spans="1:13" ht="20.25" customHeight="1" thickTop="1">
      <c r="A89" s="58" t="s">
        <v>91</v>
      </c>
      <c r="B89" s="58" t="s">
        <v>87</v>
      </c>
      <c r="C89" s="58" t="s">
        <v>90</v>
      </c>
      <c r="D89" s="10">
        <v>317</v>
      </c>
      <c r="E89" s="10">
        <v>249.56</v>
      </c>
      <c r="F89" s="45">
        <f>101505661.42*E89/$E$102</f>
        <v>10174457.117600715</v>
      </c>
      <c r="G89" s="45">
        <f>97687474.28*E89/$E$102</f>
        <v>9791739.732388442</v>
      </c>
      <c r="H89" s="45">
        <f>4329032.9*E89/$E$102</f>
        <v>433922.19690570113</v>
      </c>
      <c r="I89" s="10">
        <f t="shared" si="61"/>
        <v>20400119.04689486</v>
      </c>
      <c r="J89" s="10">
        <f t="shared" si="57"/>
        <v>32096.079235333484</v>
      </c>
      <c r="K89" s="10">
        <f t="shared" si="58"/>
        <v>30888.76887188783</v>
      </c>
      <c r="L89" s="10">
        <f t="shared" si="59"/>
        <v>1368.8397378728741</v>
      </c>
      <c r="M89" s="10">
        <f t="shared" si="60"/>
        <v>64353.687845094195</v>
      </c>
    </row>
    <row r="90" spans="1:13" ht="20.25" customHeight="1">
      <c r="A90" s="32" t="s">
        <v>91</v>
      </c>
      <c r="B90" s="32" t="s">
        <v>87</v>
      </c>
      <c r="C90" s="32" t="s">
        <v>92</v>
      </c>
      <c r="D90" s="1">
        <v>224</v>
      </c>
      <c r="E90" s="1">
        <v>159.3</v>
      </c>
      <c r="F90" s="45">
        <f aca="true" t="shared" si="62" ref="F90:F101">101505661.42*E90/$E$102</f>
        <v>6494594.56176388</v>
      </c>
      <c r="G90" s="45">
        <f aca="true" t="shared" si="63" ref="G90:G101">97687474.28*E90/$E$102</f>
        <v>6250297.0803393135</v>
      </c>
      <c r="H90" s="45">
        <f aca="true" t="shared" si="64" ref="H90:H101">4329032.9*E90/$E$102</f>
        <v>276982.71344397415</v>
      </c>
      <c r="I90" s="1">
        <f t="shared" si="61"/>
        <v>13021874.355547167</v>
      </c>
      <c r="J90" s="1">
        <f t="shared" si="57"/>
        <v>28993.72572216018</v>
      </c>
      <c r="K90" s="1">
        <f t="shared" si="58"/>
        <v>27903.11196580051</v>
      </c>
      <c r="L90" s="1">
        <f t="shared" si="59"/>
        <v>1236.5299707320276</v>
      </c>
      <c r="M90" s="1">
        <f t="shared" si="60"/>
        <v>58133.36765869272</v>
      </c>
    </row>
    <row r="91" spans="1:13" ht="20.25" customHeight="1">
      <c r="A91" s="32" t="s">
        <v>91</v>
      </c>
      <c r="B91" s="32" t="s">
        <v>87</v>
      </c>
      <c r="C91" s="32" t="s">
        <v>93</v>
      </c>
      <c r="D91" s="1">
        <v>207</v>
      </c>
      <c r="E91" s="1">
        <v>144.94</v>
      </c>
      <c r="F91" s="45">
        <f t="shared" si="62"/>
        <v>5909143.350797594</v>
      </c>
      <c r="G91" s="45">
        <f t="shared" si="63"/>
        <v>5686867.9147795355</v>
      </c>
      <c r="H91" s="45">
        <f t="shared" si="64"/>
        <v>252014.27800734216</v>
      </c>
      <c r="I91" s="1">
        <f t="shared" si="61"/>
        <v>11848025.543584472</v>
      </c>
      <c r="J91" s="1">
        <f t="shared" si="57"/>
        <v>28546.586235737166</v>
      </c>
      <c r="K91" s="1">
        <f t="shared" si="58"/>
        <v>27472.791858838336</v>
      </c>
      <c r="L91" s="1">
        <f t="shared" si="59"/>
        <v>1217.460280228706</v>
      </c>
      <c r="M91" s="1">
        <f t="shared" si="60"/>
        <v>57236.8383748042</v>
      </c>
    </row>
    <row r="92" spans="1:13" ht="20.25" customHeight="1">
      <c r="A92" s="32" t="s">
        <v>91</v>
      </c>
      <c r="B92" s="32" t="s">
        <v>87</v>
      </c>
      <c r="C92" s="32" t="s">
        <v>94</v>
      </c>
      <c r="D92" s="1">
        <v>298</v>
      </c>
      <c r="E92" s="1">
        <v>229.86</v>
      </c>
      <c r="F92" s="45">
        <f t="shared" si="62"/>
        <v>9371296.333754208</v>
      </c>
      <c r="G92" s="45">
        <f t="shared" si="63"/>
        <v>9018790.250387913</v>
      </c>
      <c r="H92" s="45">
        <f t="shared" si="64"/>
        <v>399668.8418846949</v>
      </c>
      <c r="I92" s="1">
        <f t="shared" si="61"/>
        <v>18789755.426026814</v>
      </c>
      <c r="J92" s="1">
        <f t="shared" si="57"/>
        <v>31447.303133403384</v>
      </c>
      <c r="K92" s="1">
        <f t="shared" si="58"/>
        <v>30264.396813382256</v>
      </c>
      <c r="L92" s="1">
        <f t="shared" si="59"/>
        <v>1341.1706103513252</v>
      </c>
      <c r="M92" s="1">
        <f t="shared" si="60"/>
        <v>63052.870557136965</v>
      </c>
    </row>
    <row r="93" spans="1:13" ht="20.25" customHeight="1">
      <c r="A93" s="32" t="s">
        <v>91</v>
      </c>
      <c r="B93" s="32" t="s">
        <v>87</v>
      </c>
      <c r="C93" s="32" t="s">
        <v>201</v>
      </c>
      <c r="D93" s="1">
        <v>110</v>
      </c>
      <c r="E93" s="1">
        <v>110.56</v>
      </c>
      <c r="F93" s="45">
        <f t="shared" si="62"/>
        <v>4507485.0894451635</v>
      </c>
      <c r="G93" s="45">
        <f t="shared" si="63"/>
        <v>4337933.742638509</v>
      </c>
      <c r="H93" s="45">
        <f t="shared" si="64"/>
        <v>192236.08787423588</v>
      </c>
      <c r="I93" s="1">
        <f t="shared" si="61"/>
        <v>9037654.919957908</v>
      </c>
      <c r="J93" s="1">
        <f t="shared" si="57"/>
        <v>40977.13717677422</v>
      </c>
      <c r="K93" s="1">
        <f t="shared" si="58"/>
        <v>39435.76129671372</v>
      </c>
      <c r="L93" s="1">
        <f t="shared" si="59"/>
        <v>1747.6007988566898</v>
      </c>
      <c r="M93" s="1">
        <f t="shared" si="60"/>
        <v>82160.49927234462</v>
      </c>
    </row>
    <row r="94" spans="1:13" ht="20.25" customHeight="1">
      <c r="A94" s="32" t="s">
        <v>91</v>
      </c>
      <c r="B94" s="32" t="s">
        <v>87</v>
      </c>
      <c r="C94" s="32" t="s">
        <v>95</v>
      </c>
      <c r="D94" s="1">
        <v>380</v>
      </c>
      <c r="E94" s="1">
        <v>312.39</v>
      </c>
      <c r="F94" s="45">
        <f t="shared" si="62"/>
        <v>12736010.013492895</v>
      </c>
      <c r="G94" s="45">
        <f t="shared" si="63"/>
        <v>12256938.511784043</v>
      </c>
      <c r="H94" s="45">
        <f t="shared" si="64"/>
        <v>543167.795685895</v>
      </c>
      <c r="I94" s="1">
        <f t="shared" si="61"/>
        <v>25536116.32096283</v>
      </c>
      <c r="J94" s="1">
        <f t="shared" si="57"/>
        <v>33515.815824981306</v>
      </c>
      <c r="K94" s="1">
        <f t="shared" si="58"/>
        <v>32255.101346800115</v>
      </c>
      <c r="L94" s="1">
        <f t="shared" si="59"/>
        <v>1429.3889360155133</v>
      </c>
      <c r="M94" s="1">
        <f t="shared" si="60"/>
        <v>67200.30610779693</v>
      </c>
    </row>
    <row r="95" spans="1:15" ht="20.25" customHeight="1">
      <c r="A95" s="32" t="s">
        <v>91</v>
      </c>
      <c r="B95" s="32" t="s">
        <v>87</v>
      </c>
      <c r="C95" s="32" t="s">
        <v>96</v>
      </c>
      <c r="D95" s="1">
        <v>298</v>
      </c>
      <c r="E95" s="1">
        <v>251.25</v>
      </c>
      <c r="F95" s="45">
        <f t="shared" si="62"/>
        <v>10243357.712763181</v>
      </c>
      <c r="G95" s="45">
        <f t="shared" si="63"/>
        <v>9858048.596580366</v>
      </c>
      <c r="H95" s="45">
        <f t="shared" si="64"/>
        <v>436860.68269176706</v>
      </c>
      <c r="I95" s="1">
        <f t="shared" si="61"/>
        <v>20538266.992035314</v>
      </c>
      <c r="J95" s="1">
        <f t="shared" si="57"/>
        <v>34373.68359987644</v>
      </c>
      <c r="K95" s="1">
        <f t="shared" si="58"/>
        <v>33080.69998852472</v>
      </c>
      <c r="L95" s="1">
        <f t="shared" si="59"/>
        <v>1465.9754452743862</v>
      </c>
      <c r="M95" s="1">
        <f t="shared" si="60"/>
        <v>68920.35903367554</v>
      </c>
      <c r="O95" s="35"/>
    </row>
    <row r="96" spans="1:13" ht="20.25" customHeight="1">
      <c r="A96" s="32" t="s">
        <v>91</v>
      </c>
      <c r="B96" s="32" t="s">
        <v>87</v>
      </c>
      <c r="C96" s="32" t="s">
        <v>97</v>
      </c>
      <c r="D96" s="1">
        <v>355</v>
      </c>
      <c r="E96" s="1">
        <v>290.19</v>
      </c>
      <c r="F96" s="45">
        <f t="shared" si="62"/>
        <v>11830925.272305463</v>
      </c>
      <c r="G96" s="45">
        <f t="shared" si="63"/>
        <v>11385898.993996644</v>
      </c>
      <c r="H96" s="45">
        <f t="shared" si="64"/>
        <v>504567.5682002941</v>
      </c>
      <c r="I96" s="1">
        <f t="shared" si="61"/>
        <v>23721391.834502403</v>
      </c>
      <c r="J96" s="1">
        <f t="shared" si="57"/>
        <v>33326.55006283229</v>
      </c>
      <c r="K96" s="1">
        <f t="shared" si="58"/>
        <v>32072.954912666602</v>
      </c>
      <c r="L96" s="1">
        <f t="shared" si="59"/>
        <v>1421.3170935219553</v>
      </c>
      <c r="M96" s="1">
        <f t="shared" si="60"/>
        <v>66820.82206902085</v>
      </c>
    </row>
    <row r="97" spans="1:13" ht="20.25" customHeight="1">
      <c r="A97" s="32" t="s">
        <v>91</v>
      </c>
      <c r="B97" s="32" t="s">
        <v>87</v>
      </c>
      <c r="C97" s="32" t="s">
        <v>98</v>
      </c>
      <c r="D97" s="1">
        <v>162</v>
      </c>
      <c r="E97" s="1">
        <v>146.36</v>
      </c>
      <c r="F97" s="45">
        <f t="shared" si="62"/>
        <v>5967036.158567241</v>
      </c>
      <c r="G97" s="45">
        <f t="shared" si="63"/>
        <v>5742583.055106478</v>
      </c>
      <c r="H97" s="45">
        <f t="shared" si="64"/>
        <v>254483.30156723197</v>
      </c>
      <c r="I97" s="1">
        <f t="shared" si="61"/>
        <v>11964102.51524095</v>
      </c>
      <c r="J97" s="1">
        <f t="shared" si="57"/>
        <v>36833.556534365685</v>
      </c>
      <c r="K97" s="1">
        <f t="shared" si="58"/>
        <v>35448.04355003998</v>
      </c>
      <c r="L97" s="1">
        <f t="shared" si="59"/>
        <v>1570.884577575506</v>
      </c>
      <c r="M97" s="1">
        <f t="shared" si="60"/>
        <v>73852.48466198117</v>
      </c>
    </row>
    <row r="98" spans="1:13" ht="20.25" customHeight="1">
      <c r="A98" s="32" t="s">
        <v>91</v>
      </c>
      <c r="B98" s="32" t="s">
        <v>87</v>
      </c>
      <c r="C98" s="32" t="s">
        <v>99</v>
      </c>
      <c r="D98" s="1">
        <v>44</v>
      </c>
      <c r="E98" s="1">
        <v>30.33</v>
      </c>
      <c r="F98" s="45">
        <f t="shared" si="62"/>
        <v>1236541.4504601285</v>
      </c>
      <c r="G98" s="45">
        <f t="shared" si="63"/>
        <v>1190028.3141662986</v>
      </c>
      <c r="H98" s="45">
        <f t="shared" si="64"/>
        <v>52736.256740462864</v>
      </c>
      <c r="I98" s="1">
        <f t="shared" si="61"/>
        <v>2479306.02136689</v>
      </c>
      <c r="J98" s="1">
        <f t="shared" si="57"/>
        <v>28103.21478318474</v>
      </c>
      <c r="K98" s="1">
        <f t="shared" si="58"/>
        <v>27046.09804923406</v>
      </c>
      <c r="L98" s="1">
        <f t="shared" si="59"/>
        <v>1198.551289555974</v>
      </c>
      <c r="M98" s="1">
        <f t="shared" si="60"/>
        <v>56347.86412197477</v>
      </c>
    </row>
    <row r="99" spans="1:13" ht="20.25" customHeight="1">
      <c r="A99" s="32" t="s">
        <v>91</v>
      </c>
      <c r="B99" s="32" t="s">
        <v>87</v>
      </c>
      <c r="C99" s="32" t="s">
        <v>100</v>
      </c>
      <c r="D99" s="1">
        <v>257</v>
      </c>
      <c r="E99" s="1">
        <v>221.97</v>
      </c>
      <c r="F99" s="45">
        <f t="shared" si="62"/>
        <v>9049624.324386243</v>
      </c>
      <c r="G99" s="45">
        <f t="shared" si="63"/>
        <v>8709218.097444553</v>
      </c>
      <c r="H99" s="45">
        <f t="shared" si="64"/>
        <v>385950.112386434</v>
      </c>
      <c r="I99" s="1">
        <f t="shared" si="61"/>
        <v>18144792.53421723</v>
      </c>
      <c r="J99" s="1">
        <f t="shared" si="57"/>
        <v>35212.54600928499</v>
      </c>
      <c r="K99" s="1">
        <f t="shared" si="58"/>
        <v>33888.00816126285</v>
      </c>
      <c r="L99" s="1">
        <f t="shared" si="59"/>
        <v>1501.7514100639455</v>
      </c>
      <c r="M99" s="1">
        <f t="shared" si="60"/>
        <v>70602.30558061178</v>
      </c>
    </row>
    <row r="100" spans="1:13" ht="20.25" customHeight="1">
      <c r="A100" s="32" t="s">
        <v>91</v>
      </c>
      <c r="B100" s="32" t="s">
        <v>81</v>
      </c>
      <c r="C100" s="32" t="s">
        <v>82</v>
      </c>
      <c r="D100" s="1">
        <v>272</v>
      </c>
      <c r="E100" s="1">
        <v>191.81</v>
      </c>
      <c r="F100" s="45">
        <f t="shared" si="62"/>
        <v>7820013.703025296</v>
      </c>
      <c r="G100" s="45">
        <f t="shared" si="63"/>
        <v>7525859.905711762</v>
      </c>
      <c r="H100" s="45">
        <f t="shared" si="64"/>
        <v>333509.44297356356</v>
      </c>
      <c r="I100" s="1">
        <f t="shared" si="61"/>
        <v>15679383.051710622</v>
      </c>
      <c r="J100" s="1">
        <f t="shared" si="57"/>
        <v>28750.050378769472</v>
      </c>
      <c r="K100" s="1">
        <f t="shared" si="58"/>
        <v>27668.602594528536</v>
      </c>
      <c r="L100" s="1">
        <f t="shared" si="59"/>
        <v>1226.1376579910425</v>
      </c>
      <c r="M100" s="1">
        <f t="shared" si="60"/>
        <v>57644.790631289055</v>
      </c>
    </row>
    <row r="101" spans="1:13" ht="20.25" customHeight="1" thickBot="1">
      <c r="A101" s="54" t="s">
        <v>91</v>
      </c>
      <c r="B101" s="54" t="s">
        <v>81</v>
      </c>
      <c r="C101" s="54" t="s">
        <v>101</v>
      </c>
      <c r="D101" s="8">
        <v>198</v>
      </c>
      <c r="E101" s="8">
        <v>151.22</v>
      </c>
      <c r="F101" s="66">
        <f t="shared" si="62"/>
        <v>6165176.331638003</v>
      </c>
      <c r="G101" s="66">
        <f t="shared" si="63"/>
        <v>5933270.084676151</v>
      </c>
      <c r="H101" s="66">
        <f t="shared" si="64"/>
        <v>262933.62163840403</v>
      </c>
      <c r="I101" s="8">
        <f t="shared" si="61"/>
        <v>12361380.03795256</v>
      </c>
      <c r="J101" s="8">
        <f t="shared" si="57"/>
        <v>31137.254200191932</v>
      </c>
      <c r="K101" s="8">
        <f t="shared" si="58"/>
        <v>29966.01052866743</v>
      </c>
      <c r="L101" s="8">
        <f t="shared" si="59"/>
        <v>1327.9475840323437</v>
      </c>
      <c r="M101" s="8">
        <f t="shared" si="60"/>
        <v>62431.2123128917</v>
      </c>
    </row>
    <row r="102" spans="1:13" s="35" customFormat="1" ht="20.25" customHeight="1" thickBot="1" thickTop="1">
      <c r="A102" s="55"/>
      <c r="B102" s="55"/>
      <c r="C102" s="56" t="s">
        <v>145</v>
      </c>
      <c r="D102" s="57">
        <f>SUM(D89:D101)</f>
        <v>3122</v>
      </c>
      <c r="E102" s="57">
        <f>SUM(E89:E101)</f>
        <v>2489.74</v>
      </c>
      <c r="F102" s="57">
        <f>SUM(F89:F101)</f>
        <v>101505661.42</v>
      </c>
      <c r="G102" s="57">
        <f>SUM(G89:G101)</f>
        <v>97687474.27999999</v>
      </c>
      <c r="H102" s="57">
        <f>SUM(H89:H101)</f>
        <v>4329032.9</v>
      </c>
      <c r="I102" s="57">
        <f t="shared" si="61"/>
        <v>203522168.6</v>
      </c>
      <c r="J102" s="57">
        <f t="shared" si="57"/>
        <v>32513.024157591288</v>
      </c>
      <c r="K102" s="57">
        <f t="shared" si="58"/>
        <v>31290.030198590644</v>
      </c>
      <c r="L102" s="57">
        <f t="shared" si="59"/>
        <v>1386.621684817425</v>
      </c>
      <c r="M102" s="57">
        <f t="shared" si="60"/>
        <v>65189.67604099936</v>
      </c>
    </row>
    <row r="103" spans="1:13" ht="20.25" customHeight="1" thickTop="1">
      <c r="A103" s="58" t="s">
        <v>102</v>
      </c>
      <c r="B103" s="58" t="s">
        <v>53</v>
      </c>
      <c r="C103" s="58" t="s">
        <v>149</v>
      </c>
      <c r="D103" s="10">
        <v>49</v>
      </c>
      <c r="E103" s="10">
        <v>45.81</v>
      </c>
      <c r="F103" s="45">
        <f aca="true" t="shared" si="65" ref="F103:F108">39533932.99*E103/$E$109</f>
        <v>4589117.854935892</v>
      </c>
      <c r="G103" s="45">
        <f aca="true" t="shared" si="66" ref="G103:G108">29968788.29*E103/$E$109</f>
        <v>3478791.2820922867</v>
      </c>
      <c r="H103" s="45">
        <f aca="true" t="shared" si="67" ref="H103:H108">574403.83*E103/$E$109</f>
        <v>66677.07138734036</v>
      </c>
      <c r="I103" s="10">
        <f t="shared" si="61"/>
        <v>8134586.2084155185</v>
      </c>
      <c r="J103" s="10">
        <f t="shared" si="57"/>
        <v>93655.4664272631</v>
      </c>
      <c r="K103" s="10">
        <f t="shared" si="58"/>
        <v>70995.740450863</v>
      </c>
      <c r="L103" s="10">
        <f t="shared" si="59"/>
        <v>1360.7565589253134</v>
      </c>
      <c r="M103" s="10">
        <f t="shared" si="60"/>
        <v>166011.96343705142</v>
      </c>
    </row>
    <row r="104" spans="1:13" ht="20.25" customHeight="1">
      <c r="A104" s="32" t="s">
        <v>102</v>
      </c>
      <c r="B104" s="32" t="s">
        <v>48</v>
      </c>
      <c r="C104" s="32" t="s">
        <v>202</v>
      </c>
      <c r="D104" s="1">
        <v>99</v>
      </c>
      <c r="E104" s="1">
        <v>84.31</v>
      </c>
      <c r="F104" s="45">
        <f t="shared" si="65"/>
        <v>8445940.32634021</v>
      </c>
      <c r="G104" s="45">
        <f t="shared" si="66"/>
        <v>6402464.374442277</v>
      </c>
      <c r="H104" s="45">
        <f t="shared" si="67"/>
        <v>122714.33941643016</v>
      </c>
      <c r="I104" s="1">
        <f t="shared" si="61"/>
        <v>14971119.040198915</v>
      </c>
      <c r="J104" s="1">
        <f t="shared" si="57"/>
        <v>85312.528548891</v>
      </c>
      <c r="K104" s="1">
        <f t="shared" si="58"/>
        <v>64671.357317598755</v>
      </c>
      <c r="L104" s="1">
        <f t="shared" si="59"/>
        <v>1239.538781984143</v>
      </c>
      <c r="M104" s="1">
        <f t="shared" si="60"/>
        <v>151223.4246484739</v>
      </c>
    </row>
    <row r="105" spans="1:13" ht="20.25" customHeight="1">
      <c r="A105" s="32" t="s">
        <v>102</v>
      </c>
      <c r="B105" s="32" t="s">
        <v>48</v>
      </c>
      <c r="C105" s="32" t="s">
        <v>212</v>
      </c>
      <c r="D105" s="1">
        <v>14</v>
      </c>
      <c r="E105" s="1">
        <v>5</v>
      </c>
      <c r="F105" s="45">
        <f t="shared" si="65"/>
        <v>500886.0352473141</v>
      </c>
      <c r="G105" s="45">
        <f t="shared" si="66"/>
        <v>379697.80420129735</v>
      </c>
      <c r="H105" s="45">
        <f t="shared" si="67"/>
        <v>7277.5672765051695</v>
      </c>
      <c r="I105" s="1">
        <f t="shared" si="61"/>
        <v>887861.4067251167</v>
      </c>
      <c r="J105" s="1">
        <f t="shared" si="57"/>
        <v>35777.57394623672</v>
      </c>
      <c r="K105" s="1">
        <f t="shared" si="58"/>
        <v>27121.271728664095</v>
      </c>
      <c r="L105" s="1">
        <f t="shared" si="59"/>
        <v>519.8262340360835</v>
      </c>
      <c r="M105" s="1">
        <f t="shared" si="60"/>
        <v>63418.6719089369</v>
      </c>
    </row>
    <row r="106" spans="1:13" ht="20.25" customHeight="1">
      <c r="A106" s="32" t="s">
        <v>102</v>
      </c>
      <c r="B106" s="32" t="s">
        <v>59</v>
      </c>
      <c r="C106" s="32" t="s">
        <v>459</v>
      </c>
      <c r="D106" s="1">
        <v>74</v>
      </c>
      <c r="E106" s="1">
        <v>71.44</v>
      </c>
      <c r="F106" s="45">
        <f t="shared" si="65"/>
        <v>7156659.671613623</v>
      </c>
      <c r="G106" s="45">
        <f t="shared" si="66"/>
        <v>5425122.226428137</v>
      </c>
      <c r="H106" s="45">
        <f t="shared" si="67"/>
        <v>103981.88124670586</v>
      </c>
      <c r="I106" s="1">
        <f t="shared" si="61"/>
        <v>12685763.779288467</v>
      </c>
      <c r="J106" s="1">
        <f t="shared" si="57"/>
        <v>96711.61718396789</v>
      </c>
      <c r="K106" s="1">
        <f t="shared" si="58"/>
        <v>73312.46251929915</v>
      </c>
      <c r="L106" s="1">
        <f t="shared" si="59"/>
        <v>1405.160557387917</v>
      </c>
      <c r="M106" s="1">
        <f t="shared" si="60"/>
        <v>171429.24026065494</v>
      </c>
    </row>
    <row r="107" spans="1:13" ht="20.25" customHeight="1">
      <c r="A107" s="32" t="s">
        <v>102</v>
      </c>
      <c r="B107" s="32" t="s">
        <v>103</v>
      </c>
      <c r="C107" s="32" t="s">
        <v>200</v>
      </c>
      <c r="D107" s="1">
        <v>84</v>
      </c>
      <c r="E107" s="1">
        <v>76.44</v>
      </c>
      <c r="F107" s="45">
        <f t="shared" si="65"/>
        <v>7657545.706860937</v>
      </c>
      <c r="G107" s="45">
        <f t="shared" si="66"/>
        <v>5804820.030629435</v>
      </c>
      <c r="H107" s="45">
        <f t="shared" si="67"/>
        <v>111259.44852321102</v>
      </c>
      <c r="I107" s="1">
        <f t="shared" si="61"/>
        <v>13573625.186013581</v>
      </c>
      <c r="J107" s="1">
        <f t="shared" si="57"/>
        <v>91161.25841501115</v>
      </c>
      <c r="K107" s="1">
        <f t="shared" si="58"/>
        <v>69105.00036463613</v>
      </c>
      <c r="L107" s="1">
        <f t="shared" si="59"/>
        <v>1324.5172443239408</v>
      </c>
      <c r="M107" s="1">
        <f t="shared" si="60"/>
        <v>161590.77602397124</v>
      </c>
    </row>
    <row r="108" spans="1:13" ht="20.25" customHeight="1" thickBot="1">
      <c r="A108" s="54" t="s">
        <v>102</v>
      </c>
      <c r="B108" s="54" t="s">
        <v>103</v>
      </c>
      <c r="C108" s="54" t="s">
        <v>213</v>
      </c>
      <c r="D108" s="8">
        <v>141</v>
      </c>
      <c r="E108" s="8">
        <v>111.64</v>
      </c>
      <c r="F108" s="66">
        <f t="shared" si="65"/>
        <v>11183783.395002028</v>
      </c>
      <c r="G108" s="66">
        <f t="shared" si="66"/>
        <v>8477892.572206568</v>
      </c>
      <c r="H108" s="66">
        <f t="shared" si="67"/>
        <v>162493.52214980742</v>
      </c>
      <c r="I108" s="8">
        <f t="shared" si="61"/>
        <v>19824169.489358403</v>
      </c>
      <c r="J108" s="8">
        <f t="shared" si="57"/>
        <v>79317.61273051084</v>
      </c>
      <c r="K108" s="8">
        <f t="shared" si="58"/>
        <v>60126.89767522389</v>
      </c>
      <c r="L108" s="8">
        <f t="shared" si="59"/>
        <v>1152.4363273035988</v>
      </c>
      <c r="M108" s="8">
        <f t="shared" si="60"/>
        <v>140596.94673303832</v>
      </c>
    </row>
    <row r="109" spans="1:13" s="35" customFormat="1" ht="20.25" customHeight="1" thickBot="1" thickTop="1">
      <c r="A109" s="55"/>
      <c r="B109" s="55"/>
      <c r="C109" s="56" t="s">
        <v>146</v>
      </c>
      <c r="D109" s="57">
        <f>SUM(D103:D108)</f>
        <v>461</v>
      </c>
      <c r="E109" s="57">
        <f>SUM(E103:E108)</f>
        <v>394.64</v>
      </c>
      <c r="F109" s="57">
        <f>SUM(F103:F108)</f>
        <v>39533932.99</v>
      </c>
      <c r="G109" s="57">
        <f>SUM(G103:G108)</f>
        <v>29968788.29</v>
      </c>
      <c r="H109" s="57">
        <f>SUM(H103:H108)</f>
        <v>574403.8300000001</v>
      </c>
      <c r="I109" s="57">
        <f t="shared" si="61"/>
        <v>70077125.11</v>
      </c>
      <c r="J109" s="57">
        <f t="shared" si="57"/>
        <v>85756.90453362257</v>
      </c>
      <c r="K109" s="57">
        <f t="shared" si="58"/>
        <v>65008.21754880694</v>
      </c>
      <c r="L109" s="57">
        <f t="shared" si="59"/>
        <v>1245.9952928416487</v>
      </c>
      <c r="M109" s="57">
        <f t="shared" si="60"/>
        <v>152011.11737527116</v>
      </c>
    </row>
    <row r="110" spans="1:13" s="35" customFormat="1" ht="20.25" customHeight="1" thickTop="1">
      <c r="A110" s="58" t="s">
        <v>43</v>
      </c>
      <c r="B110" s="58" t="s">
        <v>53</v>
      </c>
      <c r="C110" s="59" t="s">
        <v>254</v>
      </c>
      <c r="D110" s="10">
        <v>67</v>
      </c>
      <c r="E110" s="10">
        <v>67.61</v>
      </c>
      <c r="F110" s="45">
        <f>11039621.25*E110/$E$115</f>
        <v>5930309.810205784</v>
      </c>
      <c r="G110" s="45">
        <f>6824828.1*E110/$E$115</f>
        <v>3666189.638018433</v>
      </c>
      <c r="H110" s="45">
        <f>216051.26*E110/$E$115</f>
        <v>116059.31740505324</v>
      </c>
      <c r="I110" s="10">
        <f t="shared" si="61"/>
        <v>9712558.76562927</v>
      </c>
      <c r="J110" s="10">
        <f>+F110/D110</f>
        <v>88512.0867194893</v>
      </c>
      <c r="K110" s="10">
        <f>+G110/D110</f>
        <v>54719.24832863333</v>
      </c>
      <c r="L110" s="10">
        <f>+H110/D110</f>
        <v>1732.2286179858693</v>
      </c>
      <c r="M110" s="10">
        <f>SUM(J110:L110)</f>
        <v>144963.5636661085</v>
      </c>
    </row>
    <row r="111" spans="1:13" ht="20.25" customHeight="1">
      <c r="A111" s="58" t="s">
        <v>43</v>
      </c>
      <c r="B111" s="58" t="s">
        <v>81</v>
      </c>
      <c r="C111" s="32" t="s">
        <v>216</v>
      </c>
      <c r="D111" s="1">
        <v>33</v>
      </c>
      <c r="E111" s="1">
        <v>22.06</v>
      </c>
      <c r="F111" s="24">
        <f>11039621.25*E111/$E$115</f>
        <v>1934959.8345383757</v>
      </c>
      <c r="G111" s="24">
        <f>6824828.1*E111/$E$115</f>
        <v>1196215.6990783408</v>
      </c>
      <c r="H111" s="24">
        <f>216051.26*E111/$E$115</f>
        <v>37868.19319561417</v>
      </c>
      <c r="I111" s="1">
        <f t="shared" si="61"/>
        <v>3169043.7268123305</v>
      </c>
      <c r="J111" s="10">
        <f t="shared" si="57"/>
        <v>58635.146501162904</v>
      </c>
      <c r="K111" s="10">
        <f t="shared" si="58"/>
        <v>36248.96057813154</v>
      </c>
      <c r="L111" s="10">
        <f t="shared" si="59"/>
        <v>1147.5210059277022</v>
      </c>
      <c r="M111" s="10">
        <f t="shared" si="60"/>
        <v>96031.62808522215</v>
      </c>
    </row>
    <row r="112" spans="1:13" ht="20.25" customHeight="1">
      <c r="A112" s="32" t="s">
        <v>43</v>
      </c>
      <c r="B112" s="32" t="s">
        <v>81</v>
      </c>
      <c r="C112" s="32" t="s">
        <v>217</v>
      </c>
      <c r="D112" s="1">
        <v>2</v>
      </c>
      <c r="E112" s="1">
        <v>0.17</v>
      </c>
      <c r="F112" s="24">
        <f>11039621.25*E112/$E$115</f>
        <v>14911.295189098999</v>
      </c>
      <c r="G112" s="24">
        <f>6824828.1*E112/$E$115</f>
        <v>9218.34400921659</v>
      </c>
      <c r="H112" s="24">
        <f>216051.26*E112/$E$115</f>
        <v>291.82197838868586</v>
      </c>
      <c r="I112" s="1">
        <f t="shared" si="61"/>
        <v>24421.461176704273</v>
      </c>
      <c r="J112" s="1">
        <f t="shared" si="57"/>
        <v>7455.647594549499</v>
      </c>
      <c r="K112" s="1">
        <f t="shared" si="58"/>
        <v>4609.172004608295</v>
      </c>
      <c r="L112" s="1">
        <f t="shared" si="59"/>
        <v>145.91098919434293</v>
      </c>
      <c r="M112" s="1">
        <f t="shared" si="60"/>
        <v>12210.730588352137</v>
      </c>
    </row>
    <row r="113" spans="1:13" ht="20.25" customHeight="1">
      <c r="A113" s="32" t="s">
        <v>43</v>
      </c>
      <c r="B113" s="32" t="s">
        <v>81</v>
      </c>
      <c r="C113" s="32" t="s">
        <v>163</v>
      </c>
      <c r="D113" s="1">
        <v>44</v>
      </c>
      <c r="E113" s="1">
        <v>35.94</v>
      </c>
      <c r="F113" s="24">
        <f>11039621.25*E113/$E$115</f>
        <v>3152423.229977753</v>
      </c>
      <c r="G113" s="24">
        <f>6824828.1*E113/$E$115</f>
        <v>1948866.3746543776</v>
      </c>
      <c r="H113" s="24">
        <f>216051.26*E113/$E$115</f>
        <v>61694.59943111394</v>
      </c>
      <c r="I113" s="1">
        <f t="shared" si="61"/>
        <v>5162984.204063245</v>
      </c>
      <c r="J113" s="1">
        <f t="shared" si="57"/>
        <v>71645.98249949439</v>
      </c>
      <c r="K113" s="1">
        <f t="shared" si="58"/>
        <v>44292.41760578131</v>
      </c>
      <c r="L113" s="1">
        <f t="shared" si="59"/>
        <v>1402.1499870707712</v>
      </c>
      <c r="M113" s="1">
        <f t="shared" si="60"/>
        <v>117340.55009234649</v>
      </c>
    </row>
    <row r="114" spans="1:13" ht="20.25" customHeight="1" thickBot="1">
      <c r="A114" s="54" t="s">
        <v>43</v>
      </c>
      <c r="B114" s="54" t="s">
        <v>81</v>
      </c>
      <c r="C114" s="54" t="s">
        <v>164</v>
      </c>
      <c r="D114" s="8">
        <v>1</v>
      </c>
      <c r="E114" s="8">
        <v>0.08</v>
      </c>
      <c r="F114" s="213">
        <f>11039621.25*E114/$E$115</f>
        <v>7017.080088987765</v>
      </c>
      <c r="G114" s="213">
        <f>6824828.1*E114/$E$115</f>
        <v>4338.0442396313365</v>
      </c>
      <c r="H114" s="213">
        <f>216051.26*E114/$E$115</f>
        <v>137.32798982996982</v>
      </c>
      <c r="I114" s="8">
        <f t="shared" si="61"/>
        <v>11492.452318449072</v>
      </c>
      <c r="J114" s="8">
        <f t="shared" si="57"/>
        <v>7017.080088987765</v>
      </c>
      <c r="K114" s="8">
        <f t="shared" si="58"/>
        <v>4338.0442396313365</v>
      </c>
      <c r="L114" s="8">
        <f t="shared" si="59"/>
        <v>137.32798982996982</v>
      </c>
      <c r="M114" s="8">
        <f t="shared" si="60"/>
        <v>11492.452318449072</v>
      </c>
    </row>
    <row r="115" spans="1:14" s="35" customFormat="1" ht="20.25" customHeight="1" thickBot="1" thickTop="1">
      <c r="A115" s="55"/>
      <c r="B115" s="55"/>
      <c r="C115" s="56" t="s">
        <v>136</v>
      </c>
      <c r="D115" s="57">
        <f>SUM(D110:D114)</f>
        <v>147</v>
      </c>
      <c r="E115" s="57">
        <f>SUM(E110:E114)</f>
        <v>125.86</v>
      </c>
      <c r="F115" s="57">
        <f>SUM(F110:F114)</f>
        <v>11039621.25</v>
      </c>
      <c r="G115" s="57">
        <f>SUM(G110:G114)</f>
        <v>6824828.1</v>
      </c>
      <c r="H115" s="57">
        <f>SUM(H110:H114)</f>
        <v>216051.25999999998</v>
      </c>
      <c r="I115" s="57">
        <f t="shared" si="61"/>
        <v>18080500.610000003</v>
      </c>
      <c r="J115" s="57">
        <f>+F115/D115</f>
        <v>75099.46428571429</v>
      </c>
      <c r="K115" s="57">
        <f>+G115/D115</f>
        <v>46427.40204081633</v>
      </c>
      <c r="L115" s="57">
        <f>+H115/D115</f>
        <v>1469.736462585034</v>
      </c>
      <c r="M115" s="57">
        <f>SUM(J115:L115)</f>
        <v>122996.60278911564</v>
      </c>
      <c r="N115" s="53"/>
    </row>
    <row r="116" spans="1:14" s="35" customFormat="1" ht="20.25" customHeight="1" thickTop="1">
      <c r="A116" s="58" t="s">
        <v>104</v>
      </c>
      <c r="B116" s="171"/>
      <c r="C116" s="172" t="s">
        <v>460</v>
      </c>
      <c r="D116" s="10">
        <v>63</v>
      </c>
      <c r="E116" s="10">
        <v>36.75</v>
      </c>
      <c r="F116" s="10">
        <f>43069207.62*E116/$E$125</f>
        <v>1836762.5358697034</v>
      </c>
      <c r="G116" s="10">
        <f>31825330.61*E116/$E$125</f>
        <v>1357247.513626658</v>
      </c>
      <c r="H116" s="10">
        <f>1971541.78*E116/$E$125</f>
        <v>84079.88629269028</v>
      </c>
      <c r="I116" s="10">
        <f t="shared" si="61"/>
        <v>3278089.9357890515</v>
      </c>
      <c r="J116" s="10">
        <f>+F116/D116</f>
        <v>29154.96088682069</v>
      </c>
      <c r="K116" s="10">
        <f>+G116/D116</f>
        <v>21543.611327407267</v>
      </c>
      <c r="L116" s="10">
        <f>+H116/D116</f>
        <v>1334.6013697252426</v>
      </c>
      <c r="M116" s="10">
        <f>SUM(J116:L116)</f>
        <v>52033.1735839532</v>
      </c>
      <c r="N116" s="53"/>
    </row>
    <row r="117" spans="1:13" ht="20.25" customHeight="1">
      <c r="A117" s="32" t="s">
        <v>104</v>
      </c>
      <c r="B117" s="32" t="s">
        <v>104</v>
      </c>
      <c r="C117" s="32" t="s">
        <v>96</v>
      </c>
      <c r="D117" s="1">
        <v>101</v>
      </c>
      <c r="E117" s="1">
        <v>79.03</v>
      </c>
      <c r="F117" s="10">
        <f aca="true" t="shared" si="68" ref="F117:F124">43069207.62*E117/$E$125</f>
        <v>3949914.1009464674</v>
      </c>
      <c r="G117" s="10">
        <f aca="true" t="shared" si="69" ref="G117:G124">31825330.61*E117/$E$125</f>
        <v>2918728.4626371367</v>
      </c>
      <c r="H117" s="10">
        <f aca="true" t="shared" si="70" ref="H117:H125">1971541.78*E117/$E$125</f>
        <v>180811.79357037586</v>
      </c>
      <c r="I117" s="1">
        <f t="shared" si="61"/>
        <v>7049454.35715398</v>
      </c>
      <c r="J117" s="1">
        <f t="shared" si="57"/>
        <v>39108.06040541057</v>
      </c>
      <c r="K117" s="1">
        <f t="shared" si="58"/>
        <v>28898.30161026868</v>
      </c>
      <c r="L117" s="1">
        <f t="shared" si="59"/>
        <v>1790.2157779245135</v>
      </c>
      <c r="M117" s="1">
        <f t="shared" si="60"/>
        <v>69796.57779360376</v>
      </c>
    </row>
    <row r="118" spans="1:13" ht="20.25" customHeight="1">
      <c r="A118" s="32" t="s">
        <v>104</v>
      </c>
      <c r="B118" s="32" t="s">
        <v>181</v>
      </c>
      <c r="C118" s="32" t="s">
        <v>105</v>
      </c>
      <c r="D118" s="1">
        <v>184</v>
      </c>
      <c r="E118" s="1">
        <v>131.06</v>
      </c>
      <c r="F118" s="10">
        <f t="shared" si="68"/>
        <v>6550370.012274376</v>
      </c>
      <c r="G118" s="10">
        <f t="shared" si="69"/>
        <v>4840295.486691423</v>
      </c>
      <c r="H118" s="10">
        <f t="shared" si="70"/>
        <v>299850.6094563262</v>
      </c>
      <c r="I118" s="1">
        <f t="shared" si="61"/>
        <v>11690516.108422127</v>
      </c>
      <c r="J118" s="1">
        <f t="shared" si="57"/>
        <v>35599.837023230306</v>
      </c>
      <c r="K118" s="1">
        <f t="shared" si="58"/>
        <v>26305.953732018603</v>
      </c>
      <c r="L118" s="1">
        <f t="shared" si="59"/>
        <v>1629.6228774800336</v>
      </c>
      <c r="M118" s="1">
        <f t="shared" si="60"/>
        <v>63535.41363272894</v>
      </c>
    </row>
    <row r="119" spans="1:13" ht="20.25" customHeight="1">
      <c r="A119" s="32" t="s">
        <v>104</v>
      </c>
      <c r="B119" s="32" t="s">
        <v>181</v>
      </c>
      <c r="C119" s="32" t="s">
        <v>106</v>
      </c>
      <c r="D119" s="1">
        <v>165</v>
      </c>
      <c r="E119" s="1">
        <v>125.28</v>
      </c>
      <c r="F119" s="10">
        <f t="shared" si="68"/>
        <v>6261485.999830107</v>
      </c>
      <c r="G119" s="10">
        <f t="shared" si="69"/>
        <v>4626829.075024427</v>
      </c>
      <c r="H119" s="10">
        <f t="shared" si="70"/>
        <v>286626.61645573436</v>
      </c>
      <c r="I119" s="1">
        <f t="shared" si="61"/>
        <v>11174941.691310268</v>
      </c>
      <c r="J119" s="1">
        <f t="shared" si="57"/>
        <v>37948.399998970344</v>
      </c>
      <c r="K119" s="1">
        <f t="shared" si="58"/>
        <v>28041.388333481376</v>
      </c>
      <c r="L119" s="1">
        <f t="shared" si="59"/>
        <v>1737.1310088226326</v>
      </c>
      <c r="M119" s="1">
        <f t="shared" si="60"/>
        <v>67726.91934127435</v>
      </c>
    </row>
    <row r="120" spans="1:13" ht="20.25" customHeight="1">
      <c r="A120" s="32" t="s">
        <v>104</v>
      </c>
      <c r="B120" s="32" t="s">
        <v>86</v>
      </c>
      <c r="C120" s="32" t="s">
        <v>107</v>
      </c>
      <c r="D120" s="1">
        <v>366</v>
      </c>
      <c r="E120" s="1">
        <v>260.81</v>
      </c>
      <c r="F120" s="10">
        <f t="shared" si="68"/>
        <v>13035266.31238578</v>
      </c>
      <c r="G120" s="10">
        <f t="shared" si="69"/>
        <v>9632210.17765901</v>
      </c>
      <c r="H120" s="10">
        <f t="shared" si="70"/>
        <v>596704.0855509265</v>
      </c>
      <c r="I120" s="1">
        <f t="shared" si="61"/>
        <v>23264180.575595718</v>
      </c>
      <c r="J120" s="1">
        <f t="shared" si="57"/>
        <v>35615.48172783</v>
      </c>
      <c r="K120" s="1">
        <f t="shared" si="58"/>
        <v>26317.51414660932</v>
      </c>
      <c r="L120" s="1">
        <f t="shared" si="59"/>
        <v>1630.3390315599086</v>
      </c>
      <c r="M120" s="1">
        <f t="shared" si="60"/>
        <v>63563.33490599923</v>
      </c>
    </row>
    <row r="121" spans="1:13" ht="20.25" customHeight="1">
      <c r="A121" s="32" t="s">
        <v>104</v>
      </c>
      <c r="B121" s="32" t="s">
        <v>86</v>
      </c>
      <c r="C121" s="32" t="s">
        <v>124</v>
      </c>
      <c r="D121" s="8">
        <v>108</v>
      </c>
      <c r="E121" s="8">
        <v>91.72</v>
      </c>
      <c r="F121" s="10">
        <f t="shared" si="68"/>
        <v>4584159.4500671895</v>
      </c>
      <c r="G121" s="10">
        <f t="shared" si="69"/>
        <v>3387394.3387710764</v>
      </c>
      <c r="H121" s="10">
        <f t="shared" si="70"/>
        <v>209845.09308205583</v>
      </c>
      <c r="I121" s="1">
        <f t="shared" si="61"/>
        <v>8181398.881920321</v>
      </c>
      <c r="J121" s="1">
        <f>+F121/D121</f>
        <v>42445.92083395546</v>
      </c>
      <c r="K121" s="1">
        <f>+G121/D121</f>
        <v>31364.762396028484</v>
      </c>
      <c r="L121" s="1">
        <f>+H121/D121</f>
        <v>1943.0101211301464</v>
      </c>
      <c r="M121" s="1">
        <f>SUM(J121:L121)</f>
        <v>75753.6933511141</v>
      </c>
    </row>
    <row r="122" spans="1:13" ht="20.25" customHeight="1">
      <c r="A122" s="32" t="s">
        <v>104</v>
      </c>
      <c r="B122" s="83" t="s">
        <v>253</v>
      </c>
      <c r="C122" s="32" t="s">
        <v>250</v>
      </c>
      <c r="D122" s="1">
        <v>61</v>
      </c>
      <c r="E122" s="1">
        <v>46.69</v>
      </c>
      <c r="F122" s="10">
        <f t="shared" si="68"/>
        <v>2333563.069381128</v>
      </c>
      <c r="G122" s="10">
        <f t="shared" si="69"/>
        <v>1724350.6506456775</v>
      </c>
      <c r="H122" s="10">
        <f t="shared" si="70"/>
        <v>106821.4936328084</v>
      </c>
      <c r="I122" s="1">
        <f t="shared" si="61"/>
        <v>4164735.213659614</v>
      </c>
      <c r="J122" s="1">
        <f>+F122/D122</f>
        <v>38255.132284936524</v>
      </c>
      <c r="K122" s="1">
        <f>+G122/D122</f>
        <v>28268.04345320783</v>
      </c>
      <c r="L122" s="1">
        <f>+H122/D122</f>
        <v>1751.1720267673509</v>
      </c>
      <c r="M122" s="1">
        <f>SUM(J122:L122)</f>
        <v>68274.3477649117</v>
      </c>
    </row>
    <row r="123" spans="1:13" ht="20.25" customHeight="1">
      <c r="A123" s="32" t="s">
        <v>104</v>
      </c>
      <c r="B123" s="83" t="s">
        <v>253</v>
      </c>
      <c r="C123" s="32" t="s">
        <v>251</v>
      </c>
      <c r="D123" s="1">
        <v>58</v>
      </c>
      <c r="E123" s="1">
        <v>45.72</v>
      </c>
      <c r="F123" s="10">
        <f t="shared" si="68"/>
        <v>2285082.5344207576</v>
      </c>
      <c r="G123" s="10">
        <f t="shared" si="69"/>
        <v>1688526.7026669602</v>
      </c>
      <c r="H123" s="10">
        <f t="shared" si="70"/>
        <v>104602.24221229386</v>
      </c>
      <c r="I123" s="1">
        <f t="shared" si="61"/>
        <v>4078211.4793000114</v>
      </c>
      <c r="J123" s="1">
        <f>+F123/D123</f>
        <v>39397.97473139237</v>
      </c>
      <c r="K123" s="1">
        <f>+G123/D123</f>
        <v>29112.5293563269</v>
      </c>
      <c r="L123" s="1">
        <f>+H123/D123</f>
        <v>1803.4869346947216</v>
      </c>
      <c r="M123" s="1">
        <f>SUM(J123:L123)</f>
        <v>70313.991022414</v>
      </c>
    </row>
    <row r="124" spans="1:13" ht="20.25" customHeight="1" thickBot="1">
      <c r="A124" s="54" t="s">
        <v>104</v>
      </c>
      <c r="B124" s="215" t="s">
        <v>253</v>
      </c>
      <c r="C124" s="54" t="s">
        <v>252</v>
      </c>
      <c r="D124" s="8">
        <v>61</v>
      </c>
      <c r="E124" s="8">
        <v>44.67</v>
      </c>
      <c r="F124" s="62">
        <f t="shared" si="68"/>
        <v>2232603.6048244806</v>
      </c>
      <c r="G124" s="62">
        <f t="shared" si="69"/>
        <v>1649748.2022776273</v>
      </c>
      <c r="H124" s="62">
        <f t="shared" si="70"/>
        <v>102199.95974678843</v>
      </c>
      <c r="I124" s="8">
        <f t="shared" si="61"/>
        <v>3984551.766848896</v>
      </c>
      <c r="J124" s="8">
        <f>+F124/D124</f>
        <v>36600.05909548329</v>
      </c>
      <c r="K124" s="8">
        <f>+G124/D124</f>
        <v>27045.052496354547</v>
      </c>
      <c r="L124" s="8">
        <f>+H124/D124</f>
        <v>1675.4091761768595</v>
      </c>
      <c r="M124" s="8">
        <f>SUM(J124:L124)</f>
        <v>65320.52076801469</v>
      </c>
    </row>
    <row r="125" spans="1:13" s="35" customFormat="1" ht="20.25" customHeight="1" thickBot="1" thickTop="1">
      <c r="A125" s="55"/>
      <c r="B125" s="55"/>
      <c r="C125" s="56" t="s">
        <v>147</v>
      </c>
      <c r="D125" s="57">
        <f>SUM(D116:D124)</f>
        <v>1167</v>
      </c>
      <c r="E125" s="57">
        <f>SUM(E116:E124)</f>
        <v>861.7300000000001</v>
      </c>
      <c r="F125" s="57">
        <f>SUM(F116:F124)</f>
        <v>43069207.62</v>
      </c>
      <c r="G125" s="57">
        <f>SUM(G116:G124)</f>
        <v>31825330.609999992</v>
      </c>
      <c r="H125" s="57">
        <f t="shared" si="70"/>
        <v>1971541.78</v>
      </c>
      <c r="I125" s="57">
        <f t="shared" si="61"/>
        <v>76866080.00999999</v>
      </c>
      <c r="J125" s="57">
        <f>+F125/D125</f>
        <v>36905.91912596401</v>
      </c>
      <c r="K125" s="57">
        <f t="shared" si="58"/>
        <v>27271.06307626392</v>
      </c>
      <c r="L125" s="57">
        <f t="shared" si="59"/>
        <v>1689.410265638389</v>
      </c>
      <c r="M125" s="57">
        <f t="shared" si="60"/>
        <v>65866.39246786632</v>
      </c>
    </row>
    <row r="126" spans="1:13" ht="20.25" customHeight="1" thickTop="1">
      <c r="A126" s="58" t="s">
        <v>108</v>
      </c>
      <c r="B126" s="58" t="s">
        <v>86</v>
      </c>
      <c r="C126" s="58" t="s">
        <v>109</v>
      </c>
      <c r="D126" s="10">
        <v>139</v>
      </c>
      <c r="E126" s="10">
        <v>89.36</v>
      </c>
      <c r="F126" s="45">
        <f>33874626.55*E126/$E$131</f>
        <v>5600230.571501517</v>
      </c>
      <c r="G126" s="45">
        <f>14389339.96*E126/$E$131</f>
        <v>2378878.5222112043</v>
      </c>
      <c r="H126" s="45">
        <f>939695.85*E126/$E$131</f>
        <v>155352.66253977653</v>
      </c>
      <c r="I126" s="10">
        <f t="shared" si="61"/>
        <v>8134461.756252497</v>
      </c>
      <c r="J126" s="10">
        <f t="shared" si="57"/>
        <v>40289.42857195336</v>
      </c>
      <c r="K126" s="10">
        <f t="shared" si="58"/>
        <v>17114.233972742477</v>
      </c>
      <c r="L126" s="10">
        <f t="shared" si="59"/>
        <v>1117.6450542429966</v>
      </c>
      <c r="M126" s="10">
        <f t="shared" si="60"/>
        <v>58521.30759893883</v>
      </c>
    </row>
    <row r="127" spans="1:13" ht="20.25" customHeight="1">
      <c r="A127" s="32" t="s">
        <v>108</v>
      </c>
      <c r="B127" s="32" t="s">
        <v>110</v>
      </c>
      <c r="C127" s="32" t="s">
        <v>111</v>
      </c>
      <c r="D127" s="1">
        <v>1</v>
      </c>
      <c r="E127" s="1">
        <v>0.42</v>
      </c>
      <c r="F127" s="45">
        <f>33874626.55*E127/$E$131</f>
        <v>26321.58504958188</v>
      </c>
      <c r="G127" s="45">
        <f>14389339.96*E127/$E$131</f>
        <v>11180.94202471694</v>
      </c>
      <c r="H127" s="45">
        <f>939695.85*E127/$E$131</f>
        <v>730.1714219640346</v>
      </c>
      <c r="I127" s="1">
        <f t="shared" si="61"/>
        <v>38232.698496262856</v>
      </c>
      <c r="J127" s="1">
        <f t="shared" si="57"/>
        <v>26321.58504958188</v>
      </c>
      <c r="K127" s="1">
        <f t="shared" si="58"/>
        <v>11180.94202471694</v>
      </c>
      <c r="L127" s="1">
        <f t="shared" si="59"/>
        <v>730.1714219640346</v>
      </c>
      <c r="M127" s="1">
        <f t="shared" si="60"/>
        <v>38232.698496262856</v>
      </c>
    </row>
    <row r="128" spans="1:13" ht="20.25" customHeight="1">
      <c r="A128" s="32" t="s">
        <v>108</v>
      </c>
      <c r="B128" s="32" t="s">
        <v>110</v>
      </c>
      <c r="C128" s="32" t="s">
        <v>112</v>
      </c>
      <c r="D128" s="1">
        <v>109</v>
      </c>
      <c r="E128" s="1">
        <v>80.58</v>
      </c>
      <c r="F128" s="45">
        <f>33874626.55*E128/$E$131</f>
        <v>5049984.103084067</v>
      </c>
      <c r="G128" s="45">
        <f>14389339.96*E128/$E$131</f>
        <v>2145143.59131355</v>
      </c>
      <c r="H128" s="45">
        <f>939695.85*E128/$E$131</f>
        <v>140088.60281395694</v>
      </c>
      <c r="I128" s="1">
        <f t="shared" si="61"/>
        <v>7335216.297211574</v>
      </c>
      <c r="J128" s="1">
        <f t="shared" si="57"/>
        <v>46330.129386092354</v>
      </c>
      <c r="K128" s="1">
        <f t="shared" si="58"/>
        <v>19680.216434069265</v>
      </c>
      <c r="L128" s="1">
        <f t="shared" si="59"/>
        <v>1285.2165395775867</v>
      </c>
      <c r="M128" s="1">
        <f t="shared" si="60"/>
        <v>67295.5623597392</v>
      </c>
    </row>
    <row r="129" spans="1:13" ht="20.25" customHeight="1">
      <c r="A129" s="32" t="s">
        <v>108</v>
      </c>
      <c r="B129" s="32" t="s">
        <v>110</v>
      </c>
      <c r="C129" s="32" t="s">
        <v>180</v>
      </c>
      <c r="D129" s="1">
        <v>96</v>
      </c>
      <c r="E129" s="1">
        <v>62.33</v>
      </c>
      <c r="F129" s="45">
        <f>33874626.55*E129/$E$131</f>
        <v>3906248.56223914</v>
      </c>
      <c r="G129" s="45">
        <f>14389339.96*E129/$E$131</f>
        <v>1659305.0390490638</v>
      </c>
      <c r="H129" s="45">
        <f>939695.85*E129/$E$131</f>
        <v>108360.916026234</v>
      </c>
      <c r="I129" s="1">
        <f t="shared" si="61"/>
        <v>5673914.517314437</v>
      </c>
      <c r="J129" s="1">
        <f t="shared" si="57"/>
        <v>40690.08918999104</v>
      </c>
      <c r="K129" s="1">
        <f t="shared" si="58"/>
        <v>17284.427490094415</v>
      </c>
      <c r="L129" s="1">
        <f t="shared" si="59"/>
        <v>1128.7595419399374</v>
      </c>
      <c r="M129" s="1">
        <f t="shared" si="60"/>
        <v>59103.27622202539</v>
      </c>
    </row>
    <row r="130" spans="1:13" ht="20.25" customHeight="1" thickBot="1">
      <c r="A130" s="54" t="s">
        <v>108</v>
      </c>
      <c r="B130" s="54" t="s">
        <v>151</v>
      </c>
      <c r="C130" s="54" t="s">
        <v>152</v>
      </c>
      <c r="D130" s="8">
        <v>353</v>
      </c>
      <c r="E130" s="8">
        <v>307.83</v>
      </c>
      <c r="F130" s="66">
        <f>33874626.55*E130/$E$131</f>
        <v>19291841.728125695</v>
      </c>
      <c r="G130" s="66">
        <f>14389339.96*E130/$E$131</f>
        <v>8194831.865401465</v>
      </c>
      <c r="H130" s="66">
        <f>939695.85*E130/$E$131</f>
        <v>535163.4971980684</v>
      </c>
      <c r="I130" s="8">
        <f t="shared" si="61"/>
        <v>28021837.09072523</v>
      </c>
      <c r="J130" s="8">
        <f t="shared" si="57"/>
        <v>54651.109711404235</v>
      </c>
      <c r="K130" s="8">
        <f t="shared" si="58"/>
        <v>23214.821148446077</v>
      </c>
      <c r="L130" s="8">
        <f t="shared" si="59"/>
        <v>1516.0439014109586</v>
      </c>
      <c r="M130" s="8">
        <f t="shared" si="60"/>
        <v>79381.97476126127</v>
      </c>
    </row>
    <row r="131" spans="1:13" s="35" customFormat="1" ht="20.25" customHeight="1" thickBot="1" thickTop="1">
      <c r="A131" s="55"/>
      <c r="B131" s="55"/>
      <c r="C131" s="56" t="s">
        <v>148</v>
      </c>
      <c r="D131" s="57">
        <f>SUM(D126:D130)</f>
        <v>698</v>
      </c>
      <c r="E131" s="57">
        <f>SUM(E126:E130)</f>
        <v>540.52</v>
      </c>
      <c r="F131" s="57">
        <f>SUM(F126:F130)</f>
        <v>33874626.55</v>
      </c>
      <c r="G131" s="57">
        <f>SUM(G126:G130)</f>
        <v>14389339.96</v>
      </c>
      <c r="H131" s="57">
        <f>SUM(H126:H130)</f>
        <v>939695.8499999999</v>
      </c>
      <c r="I131" s="57">
        <f t="shared" si="61"/>
        <v>49203662.36</v>
      </c>
      <c r="J131" s="57">
        <f t="shared" si="57"/>
        <v>48530.98359598853</v>
      </c>
      <c r="K131" s="57">
        <f t="shared" si="58"/>
        <v>20615.100229226362</v>
      </c>
      <c r="L131" s="57">
        <f>+H131/D131</f>
        <v>1346.2691260744984</v>
      </c>
      <c r="M131" s="57">
        <f t="shared" si="60"/>
        <v>70492.3529512894</v>
      </c>
    </row>
    <row r="132" spans="1:13" ht="20.25" customHeight="1" thickTop="1">
      <c r="A132" s="304" t="s">
        <v>113</v>
      </c>
      <c r="B132" s="305"/>
      <c r="C132" s="306"/>
      <c r="D132" s="216"/>
      <c r="E132" s="216"/>
      <c r="F132" s="217"/>
      <c r="G132" s="217"/>
      <c r="H132" s="217"/>
      <c r="I132" s="216">
        <f t="shared" si="61"/>
        <v>0</v>
      </c>
      <c r="J132" s="216"/>
      <c r="K132" s="216"/>
      <c r="L132" s="216"/>
      <c r="M132" s="216"/>
    </row>
    <row r="133" spans="1:13" ht="20.25" customHeight="1" thickBot="1">
      <c r="A133" s="54" t="s">
        <v>115</v>
      </c>
      <c r="B133" s="54" t="s">
        <v>114</v>
      </c>
      <c r="C133" s="54" t="s">
        <v>218</v>
      </c>
      <c r="D133" s="8">
        <v>22</v>
      </c>
      <c r="E133" s="8">
        <v>17.28</v>
      </c>
      <c r="F133" s="213">
        <v>555794.4871557602</v>
      </c>
      <c r="G133" s="213">
        <v>478865.3762852981</v>
      </c>
      <c r="H133" s="213">
        <v>28461.92404824894</v>
      </c>
      <c r="I133" s="8">
        <f t="shared" si="61"/>
        <v>1063121.787489307</v>
      </c>
      <c r="J133" s="8">
        <f t="shared" si="57"/>
        <v>25263.385779807282</v>
      </c>
      <c r="K133" s="8">
        <f t="shared" si="58"/>
        <v>21766.608012968096</v>
      </c>
      <c r="L133" s="8">
        <f t="shared" si="59"/>
        <v>1293.7238203749519</v>
      </c>
      <c r="M133" s="8">
        <f t="shared" si="60"/>
        <v>48323.71761315033</v>
      </c>
    </row>
    <row r="134" spans="1:13" s="35" customFormat="1" ht="20.25" customHeight="1" thickBot="1" thickTop="1">
      <c r="A134" s="55"/>
      <c r="B134" s="55"/>
      <c r="C134" s="56" t="s">
        <v>203</v>
      </c>
      <c r="D134" s="57">
        <f>SUM(D133)</f>
        <v>22</v>
      </c>
      <c r="E134" s="57">
        <f>SUM(E133)</f>
        <v>17.28</v>
      </c>
      <c r="F134" s="57">
        <f>SUM(F133)</f>
        <v>555794.4871557602</v>
      </c>
      <c r="G134" s="57">
        <f>SUM(G133)</f>
        <v>478865.3762852981</v>
      </c>
      <c r="H134" s="57">
        <f>SUM(H133)</f>
        <v>28461.92404824894</v>
      </c>
      <c r="I134" s="57">
        <f t="shared" si="61"/>
        <v>1063121.787489307</v>
      </c>
      <c r="J134" s="57">
        <f t="shared" si="57"/>
        <v>25263.385779807282</v>
      </c>
      <c r="K134" s="57">
        <f t="shared" si="58"/>
        <v>21766.608012968096</v>
      </c>
      <c r="L134" s="57">
        <f t="shared" si="59"/>
        <v>1293.7238203749519</v>
      </c>
      <c r="M134" s="57">
        <f t="shared" si="60"/>
        <v>48323.71761315033</v>
      </c>
    </row>
    <row r="135" spans="1:13" ht="20.25" customHeight="1" thickTop="1">
      <c r="A135" s="58" t="s">
        <v>117</v>
      </c>
      <c r="B135" s="58" t="s">
        <v>116</v>
      </c>
      <c r="C135" s="58" t="s">
        <v>118</v>
      </c>
      <c r="D135" s="10">
        <f>1+4</f>
        <v>5</v>
      </c>
      <c r="E135" s="10">
        <f>0.89+2.72</f>
        <v>3.6100000000000003</v>
      </c>
      <c r="F135" s="45">
        <f>296679.63*E135/$E$137</f>
        <v>202843.4591477273</v>
      </c>
      <c r="G135" s="45">
        <f>234293.14*E135/$E$137</f>
        <v>160189.0597348485</v>
      </c>
      <c r="H135" s="45">
        <f>8836.49*E135/$E$137</f>
        <v>6041.615321969697</v>
      </c>
      <c r="I135" s="10">
        <f t="shared" si="61"/>
        <v>369074.13420454547</v>
      </c>
      <c r="J135" s="10">
        <f t="shared" si="57"/>
        <v>40568.69182954546</v>
      </c>
      <c r="K135" s="10">
        <f t="shared" si="58"/>
        <v>32037.8119469697</v>
      </c>
      <c r="L135" s="10">
        <f t="shared" si="59"/>
        <v>1208.3230643939394</v>
      </c>
      <c r="M135" s="10">
        <f t="shared" si="60"/>
        <v>73814.82684090911</v>
      </c>
    </row>
    <row r="136" spans="1:13" ht="20.25" customHeight="1" thickBot="1">
      <c r="A136" s="54" t="s">
        <v>117</v>
      </c>
      <c r="B136" s="54" t="s">
        <v>116</v>
      </c>
      <c r="C136" s="54" t="s">
        <v>119</v>
      </c>
      <c r="D136" s="8">
        <v>6</v>
      </c>
      <c r="E136" s="8">
        <v>1.67</v>
      </c>
      <c r="F136" s="66">
        <f>296679.63*E136/$E$137</f>
        <v>93836.17085227271</v>
      </c>
      <c r="G136" s="66">
        <f>234293.14*E136/$E$137</f>
        <v>74104.08026515151</v>
      </c>
      <c r="H136" s="66">
        <f>8836.49*E136/$E$137</f>
        <v>2794.8746780303027</v>
      </c>
      <c r="I136" s="8">
        <f t="shared" si="61"/>
        <v>170735.1257954545</v>
      </c>
      <c r="J136" s="8">
        <f t="shared" si="57"/>
        <v>15639.36180871212</v>
      </c>
      <c r="K136" s="8">
        <f t="shared" si="58"/>
        <v>12350.680044191919</v>
      </c>
      <c r="L136" s="8">
        <f t="shared" si="59"/>
        <v>465.8124463383838</v>
      </c>
      <c r="M136" s="8">
        <f t="shared" si="60"/>
        <v>28455.854299242423</v>
      </c>
    </row>
    <row r="137" spans="1:13" s="35" customFormat="1" ht="20.25" customHeight="1" thickBot="1" thickTop="1">
      <c r="A137" s="55"/>
      <c r="B137" s="55"/>
      <c r="C137" s="56" t="s">
        <v>204</v>
      </c>
      <c r="D137" s="57">
        <f>SUM(D135:D136)</f>
        <v>11</v>
      </c>
      <c r="E137" s="57">
        <f>SUM(E135:E136)</f>
        <v>5.28</v>
      </c>
      <c r="F137" s="57">
        <f>SUM(F135:F136)</f>
        <v>296679.63</v>
      </c>
      <c r="G137" s="57">
        <f>SUM(G135:G136)</f>
        <v>234293.14</v>
      </c>
      <c r="H137" s="57">
        <f>SUM(H135:H136)</f>
        <v>8836.49</v>
      </c>
      <c r="I137" s="57">
        <f t="shared" si="61"/>
        <v>539809.26</v>
      </c>
      <c r="J137" s="57">
        <f aca="true" t="shared" si="71" ref="J137:J142">+F137/D137</f>
        <v>26970.875454545454</v>
      </c>
      <c r="K137" s="57">
        <f aca="true" t="shared" si="72" ref="K137:K142">+G137/D137</f>
        <v>21299.376363636366</v>
      </c>
      <c r="L137" s="57">
        <f aca="true" t="shared" si="73" ref="L137:L142">+H137/D137</f>
        <v>803.3172727272727</v>
      </c>
      <c r="M137" s="57">
        <f aca="true" t="shared" si="74" ref="M137:M142">SUM(J137:L137)</f>
        <v>49073.56909090909</v>
      </c>
    </row>
    <row r="138" spans="1:13" ht="20.25" customHeight="1" thickBot="1" thickTop="1">
      <c r="A138" s="61" t="s">
        <v>85</v>
      </c>
      <c r="B138" s="61" t="s">
        <v>116</v>
      </c>
      <c r="C138" s="61" t="s">
        <v>177</v>
      </c>
      <c r="D138" s="62">
        <v>1</v>
      </c>
      <c r="E138" s="62">
        <v>0.28</v>
      </c>
      <c r="F138" s="62">
        <v>31779.29591037333</v>
      </c>
      <c r="G138" s="62">
        <v>11995.7</v>
      </c>
      <c r="H138" s="62">
        <v>551.010380762862</v>
      </c>
      <c r="I138" s="62">
        <f t="shared" si="61"/>
        <v>44326.00629113619</v>
      </c>
      <c r="J138" s="62">
        <f t="shared" si="71"/>
        <v>31779.29591037333</v>
      </c>
      <c r="K138" s="62">
        <f t="shared" si="72"/>
        <v>11995.7</v>
      </c>
      <c r="L138" s="62">
        <f t="shared" si="73"/>
        <v>551.010380762862</v>
      </c>
      <c r="M138" s="62">
        <f t="shared" si="74"/>
        <v>44326.00629113619</v>
      </c>
    </row>
    <row r="139" spans="1:13" s="35" customFormat="1" ht="20.25" customHeight="1" thickBot="1" thickTop="1">
      <c r="A139" s="55"/>
      <c r="B139" s="55"/>
      <c r="C139" s="56" t="s">
        <v>205</v>
      </c>
      <c r="D139" s="57">
        <f>SUM(D138:D138)</f>
        <v>1</v>
      </c>
      <c r="E139" s="57">
        <f>SUM(E138:E138)</f>
        <v>0.28</v>
      </c>
      <c r="F139" s="57">
        <f>SUM(F138:F138)</f>
        <v>31779.29591037333</v>
      </c>
      <c r="G139" s="57">
        <f>SUM(G138:G138)</f>
        <v>11995.7</v>
      </c>
      <c r="H139" s="57">
        <f>SUM(H138:H138)</f>
        <v>551.010380762862</v>
      </c>
      <c r="I139" s="57">
        <f t="shared" si="61"/>
        <v>44326.00629113619</v>
      </c>
      <c r="J139" s="57">
        <f t="shared" si="71"/>
        <v>31779.29591037333</v>
      </c>
      <c r="K139" s="57">
        <f t="shared" si="72"/>
        <v>11995.7</v>
      </c>
      <c r="L139" s="57">
        <f t="shared" si="73"/>
        <v>551.010380762862</v>
      </c>
      <c r="M139" s="57">
        <f t="shared" si="74"/>
        <v>44326.00629113619</v>
      </c>
    </row>
    <row r="140" spans="1:13" ht="20.25" customHeight="1" thickBot="1" thickTop="1">
      <c r="A140" s="61" t="s">
        <v>91</v>
      </c>
      <c r="B140" s="61" t="s">
        <v>120</v>
      </c>
      <c r="C140" s="61" t="s">
        <v>219</v>
      </c>
      <c r="D140" s="62">
        <v>40</v>
      </c>
      <c r="E140" s="62">
        <v>27.67</v>
      </c>
      <c r="F140" s="66">
        <v>1128094.3598510474</v>
      </c>
      <c r="G140" s="66">
        <v>1085660.5</v>
      </c>
      <c r="H140" s="66">
        <v>48111.1843893528</v>
      </c>
      <c r="I140" s="62">
        <f>+F140+G140+H140</f>
        <v>2261866.0442404</v>
      </c>
      <c r="J140" s="62">
        <f t="shared" si="71"/>
        <v>28202.358996276183</v>
      </c>
      <c r="K140" s="62">
        <f t="shared" si="72"/>
        <v>27141.5125</v>
      </c>
      <c r="L140" s="62">
        <f t="shared" si="73"/>
        <v>1202.77960973382</v>
      </c>
      <c r="M140" s="62">
        <f t="shared" si="74"/>
        <v>56546.65110601001</v>
      </c>
    </row>
    <row r="141" spans="1:13" s="35" customFormat="1" ht="20.25" customHeight="1" thickBot="1" thickTop="1">
      <c r="A141" s="55"/>
      <c r="B141" s="55"/>
      <c r="C141" s="56" t="s">
        <v>206</v>
      </c>
      <c r="D141" s="57">
        <f>SUM(D140)</f>
        <v>40</v>
      </c>
      <c r="E141" s="57">
        <f>SUM(E140)</f>
        <v>27.67</v>
      </c>
      <c r="F141" s="57">
        <f>SUM(F140)</f>
        <v>1128094.3598510474</v>
      </c>
      <c r="G141" s="57">
        <f>SUM(G140)</f>
        <v>1085660.5</v>
      </c>
      <c r="H141" s="57">
        <f>SUM(H140)</f>
        <v>48111.1843893528</v>
      </c>
      <c r="I141" s="57">
        <f>+F141+G141+H141</f>
        <v>2261866.0442404</v>
      </c>
      <c r="J141" s="57">
        <f t="shared" si="71"/>
        <v>28202.358996276183</v>
      </c>
      <c r="K141" s="57">
        <f t="shared" si="72"/>
        <v>27141.5125</v>
      </c>
      <c r="L141" s="57">
        <f t="shared" si="73"/>
        <v>1202.77960973382</v>
      </c>
      <c r="M141" s="57">
        <f t="shared" si="74"/>
        <v>56546.65110601001</v>
      </c>
    </row>
    <row r="142" spans="1:13" s="35" customFormat="1" ht="20.25" customHeight="1" thickBot="1" thickTop="1">
      <c r="A142" s="301" t="s">
        <v>3</v>
      </c>
      <c r="B142" s="302"/>
      <c r="C142" s="303"/>
      <c r="D142" s="219">
        <f aca="true" t="shared" si="75" ref="D142:I142">+D11+D21+D32+D39+D47+D51+D62+D71+D80+D86+D88+D102+D109+D115+D125+D131+D134+D137+D139+D141</f>
        <v>17198</v>
      </c>
      <c r="E142" s="219">
        <f t="shared" si="75"/>
        <v>13556.760000000002</v>
      </c>
      <c r="F142" s="219">
        <f t="shared" si="75"/>
        <v>713294021.532917</v>
      </c>
      <c r="G142" s="219">
        <f t="shared" si="75"/>
        <v>488071261.98628527</v>
      </c>
      <c r="H142" s="219">
        <f t="shared" si="75"/>
        <v>24622005.368818372</v>
      </c>
      <c r="I142" s="219">
        <f t="shared" si="75"/>
        <v>1225987288.8880208</v>
      </c>
      <c r="J142" s="219">
        <f t="shared" si="71"/>
        <v>41475.40536881713</v>
      </c>
      <c r="K142" s="219">
        <f t="shared" si="72"/>
        <v>28379.536108052405</v>
      </c>
      <c r="L142" s="219">
        <f t="shared" si="73"/>
        <v>1431.6784142817987</v>
      </c>
      <c r="M142" s="219">
        <f t="shared" si="74"/>
        <v>71286.61989115133</v>
      </c>
    </row>
    <row r="143" spans="1:9" ht="20.25" customHeight="1" thickTop="1">
      <c r="A143" s="300"/>
      <c r="B143" s="300"/>
      <c r="C143" s="300"/>
      <c r="D143" s="300"/>
      <c r="E143" s="300"/>
      <c r="F143" s="25"/>
      <c r="G143" s="25"/>
      <c r="H143" s="25"/>
      <c r="I143" s="25">
        <f>SUM(F143:H143)</f>
        <v>0</v>
      </c>
    </row>
    <row r="144" spans="3:13" s="49" customFormat="1" ht="18.75">
      <c r="C144" s="50"/>
      <c r="D144" s="50"/>
      <c r="E144" s="50"/>
      <c r="F144" s="25"/>
      <c r="G144" s="25"/>
      <c r="H144" s="25"/>
      <c r="I144" s="20"/>
      <c r="J144" s="20"/>
      <c r="K144" s="20"/>
      <c r="L144" s="20"/>
      <c r="M144" s="20"/>
    </row>
    <row r="145" spans="3:13" s="49" customFormat="1" ht="18.75">
      <c r="C145" s="50"/>
      <c r="D145" s="194"/>
      <c r="E145" s="194"/>
      <c r="F145" s="25"/>
      <c r="G145" s="25"/>
      <c r="H145" s="25"/>
      <c r="I145" s="25"/>
      <c r="J145" s="20"/>
      <c r="K145" s="20"/>
      <c r="L145" s="20"/>
      <c r="M145" s="20"/>
    </row>
    <row r="146" spans="3:13" s="49" customFormat="1" ht="18.75">
      <c r="C146" s="50"/>
      <c r="D146" s="50"/>
      <c r="E146" s="50"/>
      <c r="F146" s="25"/>
      <c r="G146" s="25"/>
      <c r="H146" s="25"/>
      <c r="I146" s="20"/>
      <c r="J146" s="20"/>
      <c r="K146" s="20"/>
      <c r="L146" s="20"/>
      <c r="M146" s="20"/>
    </row>
    <row r="147" spans="3:9" ht="20.25" customHeight="1">
      <c r="C147" s="36"/>
      <c r="D147" s="36"/>
      <c r="E147" s="36"/>
      <c r="F147" s="25"/>
      <c r="G147" s="25"/>
      <c r="H147" s="25"/>
      <c r="I147" s="25"/>
    </row>
    <row r="148" spans="4:9" ht="20.25" customHeight="1">
      <c r="D148" s="64"/>
      <c r="E148" s="64"/>
      <c r="F148" s="64"/>
      <c r="G148" s="64"/>
      <c r="H148" s="64"/>
      <c r="I148" s="64"/>
    </row>
    <row r="149" spans="6:9" ht="20.25" customHeight="1">
      <c r="F149" s="46"/>
      <c r="G149" s="46"/>
      <c r="H149" s="46"/>
      <c r="I149" s="25"/>
    </row>
  </sheetData>
  <sheetProtection/>
  <autoFilter ref="A4:M143"/>
  <mergeCells count="7">
    <mergeCell ref="A2:M2"/>
    <mergeCell ref="A1:M1"/>
    <mergeCell ref="A143:E143"/>
    <mergeCell ref="A142:C142"/>
    <mergeCell ref="A132:C132"/>
    <mergeCell ref="A12:C12"/>
    <mergeCell ref="A5:C5"/>
  </mergeCells>
  <printOptions horizontalCentered="1"/>
  <pageMargins left="0.15748031496062992" right="0.15748031496062992" top="0.8267716535433072" bottom="0.7480314960629921" header="0.2755905511811024" footer="0.275590551181102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="60" zoomScaleNormal="60" zoomScalePageLayoutView="0" workbookViewId="0" topLeftCell="A74">
      <selection activeCell="C88" sqref="C88"/>
    </sheetView>
  </sheetViews>
  <sheetFormatPr defaultColWidth="9.140625" defaultRowHeight="15"/>
  <cols>
    <col min="1" max="1" width="27.421875" style="199" bestFit="1" customWidth="1"/>
    <col min="2" max="2" width="34.8515625" style="81" bestFit="1" customWidth="1"/>
    <col min="3" max="3" width="56.28125" style="200" bestFit="1" customWidth="1"/>
    <col min="4" max="4" width="15.421875" style="204" bestFit="1" customWidth="1"/>
    <col min="5" max="5" width="10.8515625" style="204" bestFit="1" customWidth="1"/>
    <col min="6" max="6" width="16.140625" style="204" bestFit="1" customWidth="1"/>
    <col min="7" max="7" width="16.00390625" style="204" bestFit="1" customWidth="1"/>
    <col min="8" max="8" width="14.421875" style="204" bestFit="1" customWidth="1"/>
    <col min="9" max="9" width="17.8515625" style="204" bestFit="1" customWidth="1"/>
    <col min="10" max="10" width="12.421875" style="204" bestFit="1" customWidth="1"/>
    <col min="11" max="11" width="13.28125" style="204" bestFit="1" customWidth="1"/>
    <col min="12" max="12" width="10.421875" style="204" bestFit="1" customWidth="1"/>
    <col min="13" max="13" width="13.421875" style="204" customWidth="1"/>
    <col min="14" max="16384" width="9.00390625" style="81" customWidth="1"/>
  </cols>
  <sheetData>
    <row r="1" spans="1:13" s="241" customFormat="1" ht="23.25">
      <c r="A1" s="310" t="s">
        <v>472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s="241" customFormat="1" ht="23.25">
      <c r="A2" s="310" t="s">
        <v>220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4" spans="1:13" s="242" customFormat="1" ht="63">
      <c r="A4" s="244" t="s">
        <v>37</v>
      </c>
      <c r="B4" s="243" t="s">
        <v>39</v>
      </c>
      <c r="C4" s="195" t="s">
        <v>38</v>
      </c>
      <c r="D4" s="201" t="s">
        <v>452</v>
      </c>
      <c r="E4" s="201" t="s">
        <v>453</v>
      </c>
      <c r="F4" s="202" t="s">
        <v>207</v>
      </c>
      <c r="G4" s="202" t="s">
        <v>208</v>
      </c>
      <c r="H4" s="202" t="s">
        <v>209</v>
      </c>
      <c r="I4" s="201" t="s">
        <v>40</v>
      </c>
      <c r="J4" s="202" t="s">
        <v>156</v>
      </c>
      <c r="K4" s="202" t="s">
        <v>157</v>
      </c>
      <c r="L4" s="202" t="s">
        <v>154</v>
      </c>
      <c r="M4" s="202" t="s">
        <v>486</v>
      </c>
    </row>
    <row r="5" spans="1:13" ht="21">
      <c r="A5" s="196" t="s">
        <v>41</v>
      </c>
      <c r="B5" s="197" t="s">
        <v>43</v>
      </c>
      <c r="C5" s="198" t="s">
        <v>488</v>
      </c>
      <c r="D5" s="203">
        <v>9</v>
      </c>
      <c r="E5" s="203">
        <v>10.25</v>
      </c>
      <c r="F5" s="203">
        <v>899063.3858220212</v>
      </c>
      <c r="G5" s="203">
        <v>555811.9176470588</v>
      </c>
      <c r="H5" s="203">
        <v>17595.149381598796</v>
      </c>
      <c r="I5" s="203">
        <v>1472470.4528506787</v>
      </c>
      <c r="J5" s="203">
        <v>99895.93175800235</v>
      </c>
      <c r="K5" s="203">
        <v>61756.87973856209</v>
      </c>
      <c r="L5" s="203">
        <v>1955.0165979554217</v>
      </c>
      <c r="M5" s="203">
        <v>163607.82809451988</v>
      </c>
    </row>
    <row r="6" spans="1:13" ht="21">
      <c r="A6" s="196" t="s">
        <v>41</v>
      </c>
      <c r="B6" s="197" t="s">
        <v>43</v>
      </c>
      <c r="C6" s="198" t="s">
        <v>489</v>
      </c>
      <c r="D6" s="203">
        <v>31</v>
      </c>
      <c r="E6" s="203">
        <v>29.5</v>
      </c>
      <c r="F6" s="203">
        <v>2587548.2811463047</v>
      </c>
      <c r="G6" s="203">
        <v>1599653.811764706</v>
      </c>
      <c r="H6" s="203">
        <v>50639.69822021116</v>
      </c>
      <c r="I6" s="203">
        <v>4237841.791131222</v>
      </c>
      <c r="J6" s="203">
        <v>83469.29939181628</v>
      </c>
      <c r="K6" s="203">
        <v>51601.73586337761</v>
      </c>
      <c r="L6" s="203">
        <v>1633.5386522648762</v>
      </c>
      <c r="M6" s="203">
        <v>136704.57390745875</v>
      </c>
    </row>
    <row r="7" spans="1:13" ht="21">
      <c r="A7" s="196" t="s">
        <v>41</v>
      </c>
      <c r="B7" s="197" t="s">
        <v>43</v>
      </c>
      <c r="C7" s="198" t="s">
        <v>490</v>
      </c>
      <c r="D7" s="203">
        <v>35</v>
      </c>
      <c r="E7" s="203">
        <v>33.36</v>
      </c>
      <c r="F7" s="203">
        <v>2926122.3952217195</v>
      </c>
      <c r="G7" s="203">
        <v>1808964.446117647</v>
      </c>
      <c r="H7" s="203">
        <v>57265.773987330314</v>
      </c>
      <c r="I7" s="203">
        <v>4792352.615326697</v>
      </c>
      <c r="J7" s="203">
        <v>83603.49700633484</v>
      </c>
      <c r="K7" s="203">
        <v>51684.6984605042</v>
      </c>
      <c r="L7" s="203">
        <v>1636.1649710665804</v>
      </c>
      <c r="M7" s="203">
        <v>136924.36043790562</v>
      </c>
    </row>
    <row r="8" spans="1:13" ht="21">
      <c r="A8" s="196" t="s">
        <v>41</v>
      </c>
      <c r="B8" s="197" t="s">
        <v>43</v>
      </c>
      <c r="C8" s="198" t="s">
        <v>491</v>
      </c>
      <c r="D8" s="203">
        <v>52</v>
      </c>
      <c r="E8" s="203">
        <v>41.06</v>
      </c>
      <c r="F8" s="203">
        <v>3601516.3533514333</v>
      </c>
      <c r="G8" s="203">
        <v>2226501.2037647064</v>
      </c>
      <c r="H8" s="203">
        <v>70483.59352277528</v>
      </c>
      <c r="I8" s="203">
        <v>5898501.150638915</v>
      </c>
      <c r="J8" s="203">
        <v>69259.92987214295</v>
      </c>
      <c r="K8" s="203">
        <v>42817.330841628966</v>
      </c>
      <c r="L8" s="203">
        <v>1355.4537215918322</v>
      </c>
      <c r="M8" s="203">
        <v>113432.71443536376</v>
      </c>
    </row>
    <row r="9" spans="1:13" ht="21">
      <c r="A9" s="196" t="s">
        <v>41</v>
      </c>
      <c r="B9" s="197" t="s">
        <v>43</v>
      </c>
      <c r="C9" s="198" t="s">
        <v>492</v>
      </c>
      <c r="D9" s="203">
        <v>56</v>
      </c>
      <c r="E9" s="203">
        <v>51.58</v>
      </c>
      <c r="F9" s="203">
        <v>4524262.384458521</v>
      </c>
      <c r="G9" s="203">
        <v>2796954.0207058825</v>
      </c>
      <c r="H9" s="203">
        <v>88542.22488808447</v>
      </c>
      <c r="I9" s="203">
        <v>7409758.630052488</v>
      </c>
      <c r="J9" s="203">
        <v>80790.3997224736</v>
      </c>
      <c r="K9" s="203">
        <v>49945.60751260504</v>
      </c>
      <c r="L9" s="203">
        <v>1581.111158715794</v>
      </c>
      <c r="M9" s="203">
        <v>132317.11839379443</v>
      </c>
    </row>
    <row r="10" spans="1:13" s="232" customFormat="1" ht="21.75" customHeight="1">
      <c r="A10" s="233"/>
      <c r="B10" s="233"/>
      <c r="C10" s="231" t="s">
        <v>155</v>
      </c>
      <c r="D10" s="228">
        <f aca="true" t="shared" si="0" ref="D10:I10">SUM(D5:D9)</f>
        <v>183</v>
      </c>
      <c r="E10" s="228">
        <f t="shared" si="0"/>
        <v>165.75</v>
      </c>
      <c r="F10" s="228">
        <f t="shared" si="0"/>
        <v>14538512.8</v>
      </c>
      <c r="G10" s="228">
        <f t="shared" si="0"/>
        <v>8987885.4</v>
      </c>
      <c r="H10" s="228">
        <f t="shared" si="0"/>
        <v>284526.44</v>
      </c>
      <c r="I10" s="228">
        <f t="shared" si="0"/>
        <v>23810924.64</v>
      </c>
      <c r="J10" s="228">
        <f>+F10/D10</f>
        <v>79445.42513661203</v>
      </c>
      <c r="K10" s="228">
        <f>+G10/D10</f>
        <v>49114.12786885246</v>
      </c>
      <c r="L10" s="228">
        <f>+H10/D10</f>
        <v>1554.7892896174862</v>
      </c>
      <c r="M10" s="228">
        <f>SUM(J10:L10)</f>
        <v>130114.34229508198</v>
      </c>
    </row>
    <row r="11" spans="1:13" s="232" customFormat="1" ht="21">
      <c r="A11" s="233"/>
      <c r="B11" s="233"/>
      <c r="C11" s="231" t="s">
        <v>153</v>
      </c>
      <c r="D11" s="311"/>
      <c r="E11" s="312"/>
      <c r="F11" s="312"/>
      <c r="G11" s="312"/>
      <c r="H11" s="312"/>
      <c r="I11" s="313"/>
      <c r="J11" s="228">
        <f>+J10*100/M10</f>
        <v>61.0581614104004</v>
      </c>
      <c r="K11" s="228">
        <f>+K10*100/M10</f>
        <v>37.74689784579487</v>
      </c>
      <c r="L11" s="228">
        <f>+L10*100/M10</f>
        <v>1.194940743804731</v>
      </c>
      <c r="M11" s="228">
        <f>SUM(J11:L11)</f>
        <v>100.00000000000001</v>
      </c>
    </row>
    <row r="12" spans="1:13" s="199" customFormat="1" ht="21">
      <c r="A12" s="196" t="s">
        <v>86</v>
      </c>
      <c r="B12" s="196" t="s">
        <v>104</v>
      </c>
      <c r="C12" s="224" t="s">
        <v>107</v>
      </c>
      <c r="D12" s="225">
        <v>366</v>
      </c>
      <c r="E12" s="225">
        <v>260.81</v>
      </c>
      <c r="F12" s="225">
        <v>13035266.31238578</v>
      </c>
      <c r="G12" s="225">
        <v>9632210.17765901</v>
      </c>
      <c r="H12" s="225">
        <v>596704.0855509265</v>
      </c>
      <c r="I12" s="225">
        <v>23264180.575595718</v>
      </c>
      <c r="J12" s="225">
        <v>35615.48172783</v>
      </c>
      <c r="K12" s="225">
        <v>26317.51414660932</v>
      </c>
      <c r="L12" s="225">
        <v>1630.3390315599086</v>
      </c>
      <c r="M12" s="225">
        <v>63563.33490599923</v>
      </c>
    </row>
    <row r="13" spans="1:13" s="199" customFormat="1" ht="21">
      <c r="A13" s="196" t="s">
        <v>86</v>
      </c>
      <c r="B13" s="196" t="s">
        <v>104</v>
      </c>
      <c r="C13" s="224" t="s">
        <v>124</v>
      </c>
      <c r="D13" s="225">
        <v>108</v>
      </c>
      <c r="E13" s="225">
        <v>91.72</v>
      </c>
      <c r="F13" s="225">
        <v>4584159.4500671895</v>
      </c>
      <c r="G13" s="225">
        <v>3387394.3387710764</v>
      </c>
      <c r="H13" s="225">
        <v>209845.09308205583</v>
      </c>
      <c r="I13" s="225">
        <v>8181398.881920321</v>
      </c>
      <c r="J13" s="225">
        <v>42445.92083395546</v>
      </c>
      <c r="K13" s="225">
        <v>31364.762396028484</v>
      </c>
      <c r="L13" s="225">
        <v>1943.0101211301464</v>
      </c>
      <c r="M13" s="225">
        <v>75753.6933511141</v>
      </c>
    </row>
    <row r="14" spans="1:13" s="199" customFormat="1" ht="20.25" customHeight="1">
      <c r="A14" s="196" t="s">
        <v>86</v>
      </c>
      <c r="B14" s="196" t="s">
        <v>108</v>
      </c>
      <c r="C14" s="224" t="s">
        <v>109</v>
      </c>
      <c r="D14" s="225">
        <v>139</v>
      </c>
      <c r="E14" s="225">
        <v>89.36</v>
      </c>
      <c r="F14" s="225">
        <v>5600230.571501517</v>
      </c>
      <c r="G14" s="225">
        <v>2378878.5222112043</v>
      </c>
      <c r="H14" s="225">
        <v>155352.66253977653</v>
      </c>
      <c r="I14" s="225">
        <v>8134461.756252497</v>
      </c>
      <c r="J14" s="225">
        <v>40289.42857195336</v>
      </c>
      <c r="K14" s="225">
        <v>17114.233972742477</v>
      </c>
      <c r="L14" s="225">
        <v>1117.6450542429966</v>
      </c>
      <c r="M14" s="225">
        <v>58521.30759893883</v>
      </c>
    </row>
    <row r="15" spans="1:13" s="232" customFormat="1" ht="21.75" customHeight="1">
      <c r="A15" s="233"/>
      <c r="B15" s="233"/>
      <c r="C15" s="231" t="s">
        <v>155</v>
      </c>
      <c r="D15" s="228">
        <f aca="true" t="shared" si="1" ref="D15:I15">SUM(D12:D14)</f>
        <v>613</v>
      </c>
      <c r="E15" s="228">
        <f t="shared" si="1"/>
        <v>441.89</v>
      </c>
      <c r="F15" s="228">
        <f t="shared" si="1"/>
        <v>23219656.333954487</v>
      </c>
      <c r="G15" s="228">
        <f t="shared" si="1"/>
        <v>15398483.038641293</v>
      </c>
      <c r="H15" s="228">
        <f t="shared" si="1"/>
        <v>961901.8411727588</v>
      </c>
      <c r="I15" s="228">
        <f t="shared" si="1"/>
        <v>39580041.213768534</v>
      </c>
      <c r="J15" s="228">
        <f>+F15/D15</f>
        <v>37878.72158883277</v>
      </c>
      <c r="K15" s="228">
        <f>+G15/D15</f>
        <v>25119.874451290852</v>
      </c>
      <c r="L15" s="228">
        <f>+H15/D15</f>
        <v>1569.17102964561</v>
      </c>
      <c r="M15" s="228">
        <f>SUM(J15:L15)</f>
        <v>64567.76706976923</v>
      </c>
    </row>
    <row r="16" spans="1:13" s="232" customFormat="1" ht="21">
      <c r="A16" s="233"/>
      <c r="B16" s="233"/>
      <c r="C16" s="231" t="s">
        <v>153</v>
      </c>
      <c r="D16" s="311"/>
      <c r="E16" s="312"/>
      <c r="F16" s="312"/>
      <c r="G16" s="312"/>
      <c r="H16" s="312"/>
      <c r="I16" s="313"/>
      <c r="J16" s="228">
        <f>+J15*100/M15</f>
        <v>58.66506355702622</v>
      </c>
      <c r="K16" s="228">
        <f>+K15*100/M15</f>
        <v>38.904666509757675</v>
      </c>
      <c r="L16" s="228">
        <f>+L15*100/M15</f>
        <v>2.4302699332161035</v>
      </c>
      <c r="M16" s="228">
        <f>SUM(J16:L16)</f>
        <v>100.00000000000001</v>
      </c>
    </row>
    <row r="17" spans="1:13" ht="21">
      <c r="A17" s="196" t="s">
        <v>48</v>
      </c>
      <c r="B17" s="197" t="s">
        <v>55</v>
      </c>
      <c r="C17" s="198" t="s">
        <v>487</v>
      </c>
      <c r="D17" s="203">
        <v>1</v>
      </c>
      <c r="E17" s="203">
        <v>0.5</v>
      </c>
      <c r="F17" s="203">
        <v>25255.609967054726</v>
      </c>
      <c r="G17" s="203">
        <v>13957.022262478797</v>
      </c>
      <c r="H17" s="203">
        <v>661.1187850210014</v>
      </c>
      <c r="I17" s="203">
        <v>39873.75101455453</v>
      </c>
      <c r="J17" s="203">
        <v>25255.609967054726</v>
      </c>
      <c r="K17" s="203">
        <v>13957.022262478797</v>
      </c>
      <c r="L17" s="203">
        <v>661.1187850210014</v>
      </c>
      <c r="M17" s="203">
        <v>39873.75101455453</v>
      </c>
    </row>
    <row r="18" spans="1:13" s="199" customFormat="1" ht="21">
      <c r="A18" s="196" t="s">
        <v>48</v>
      </c>
      <c r="B18" s="196" t="s">
        <v>55</v>
      </c>
      <c r="C18" s="224" t="s">
        <v>56</v>
      </c>
      <c r="D18" s="225">
        <v>262</v>
      </c>
      <c r="E18" s="225">
        <v>245.36</v>
      </c>
      <c r="F18" s="225">
        <v>12393432.923033098</v>
      </c>
      <c r="G18" s="225">
        <v>6848989.964643596</v>
      </c>
      <c r="H18" s="225">
        <v>324424.21018550586</v>
      </c>
      <c r="I18" s="225">
        <v>19566847.0978622</v>
      </c>
      <c r="J18" s="225">
        <v>47303.17909554618</v>
      </c>
      <c r="K18" s="225">
        <v>26141.18307115876</v>
      </c>
      <c r="L18" s="225">
        <v>1238.260344219488</v>
      </c>
      <c r="M18" s="225">
        <v>74682.62251092441</v>
      </c>
    </row>
    <row r="19" spans="1:13" s="199" customFormat="1" ht="21">
      <c r="A19" s="196" t="s">
        <v>48</v>
      </c>
      <c r="B19" s="196" t="s">
        <v>55</v>
      </c>
      <c r="C19" s="224" t="s">
        <v>454</v>
      </c>
      <c r="D19" s="225">
        <v>20</v>
      </c>
      <c r="E19" s="225">
        <v>11.67</v>
      </c>
      <c r="F19" s="225">
        <v>589465.9366310573</v>
      </c>
      <c r="G19" s="225">
        <v>325756.8996062551</v>
      </c>
      <c r="H19" s="225">
        <v>15430.51244239017</v>
      </c>
      <c r="I19" s="225">
        <v>930653.3486797026</v>
      </c>
      <c r="J19" s="225">
        <v>29473.296831552863</v>
      </c>
      <c r="K19" s="225">
        <v>16287.844980312755</v>
      </c>
      <c r="L19" s="225">
        <v>771.5256221195085</v>
      </c>
      <c r="M19" s="225">
        <v>46532.66743398512</v>
      </c>
    </row>
    <row r="20" spans="1:13" s="199" customFormat="1" ht="21">
      <c r="A20" s="196" t="s">
        <v>48</v>
      </c>
      <c r="B20" s="196" t="s">
        <v>55</v>
      </c>
      <c r="C20" s="224" t="s">
        <v>169</v>
      </c>
      <c r="D20" s="225">
        <v>129</v>
      </c>
      <c r="E20" s="225">
        <v>122.61</v>
      </c>
      <c r="F20" s="225">
        <v>6193180.676121159</v>
      </c>
      <c r="G20" s="225">
        <v>3422540.9992050505</v>
      </c>
      <c r="H20" s="225">
        <v>162119.54846284998</v>
      </c>
      <c r="I20" s="225">
        <v>9777841.223789059</v>
      </c>
      <c r="J20" s="225">
        <v>48009.152528071005</v>
      </c>
      <c r="K20" s="225">
        <v>26531.32557523295</v>
      </c>
      <c r="L20" s="225">
        <v>1256.740685758527</v>
      </c>
      <c r="M20" s="225">
        <v>75797.21878906249</v>
      </c>
    </row>
    <row r="21" spans="1:13" s="199" customFormat="1" ht="21">
      <c r="A21" s="196" t="s">
        <v>48</v>
      </c>
      <c r="B21" s="196" t="s">
        <v>55</v>
      </c>
      <c r="C21" s="224" t="s">
        <v>170</v>
      </c>
      <c r="D21" s="225">
        <v>12</v>
      </c>
      <c r="E21" s="225">
        <v>7.33</v>
      </c>
      <c r="F21" s="225">
        <v>370247.2421170223</v>
      </c>
      <c r="G21" s="225">
        <v>204609.94636793918</v>
      </c>
      <c r="H21" s="225">
        <v>9692.00138840788</v>
      </c>
      <c r="I21" s="225">
        <v>584549.1898733693</v>
      </c>
      <c r="J21" s="225">
        <v>30853.93684308519</v>
      </c>
      <c r="K21" s="225">
        <v>17050.82886399493</v>
      </c>
      <c r="L21" s="225">
        <v>807.6667823673233</v>
      </c>
      <c r="M21" s="225">
        <v>48712.43248944744</v>
      </c>
    </row>
    <row r="22" spans="1:13" s="199" customFormat="1" ht="21">
      <c r="A22" s="196" t="s">
        <v>48</v>
      </c>
      <c r="B22" s="196" t="s">
        <v>55</v>
      </c>
      <c r="C22" s="224" t="s">
        <v>234</v>
      </c>
      <c r="D22" s="225">
        <v>19</v>
      </c>
      <c r="E22" s="225">
        <v>16.25</v>
      </c>
      <c r="F22" s="225">
        <v>820807.3239292786</v>
      </c>
      <c r="G22" s="225">
        <v>453603.2235305609</v>
      </c>
      <c r="H22" s="225">
        <v>21486.360513182546</v>
      </c>
      <c r="I22" s="225">
        <v>1295896.9079730222</v>
      </c>
      <c r="J22" s="225">
        <v>43200.385469962035</v>
      </c>
      <c r="K22" s="225">
        <v>23873.85387002952</v>
      </c>
      <c r="L22" s="225">
        <v>1130.8610796411867</v>
      </c>
      <c r="M22" s="225">
        <v>68205.10041963274</v>
      </c>
    </row>
    <row r="23" spans="1:13" s="199" customFormat="1" ht="21">
      <c r="A23" s="196" t="s">
        <v>48</v>
      </c>
      <c r="B23" s="196" t="s">
        <v>55</v>
      </c>
      <c r="C23" s="224" t="s">
        <v>171</v>
      </c>
      <c r="D23" s="225">
        <v>99</v>
      </c>
      <c r="E23" s="225">
        <v>83.67</v>
      </c>
      <c r="F23" s="225">
        <v>4226273.771886938</v>
      </c>
      <c r="G23" s="225">
        <v>2335568.105403202</v>
      </c>
      <c r="H23" s="225">
        <v>110631.61748541438</v>
      </c>
      <c r="I23" s="225">
        <v>6672473.494775555</v>
      </c>
      <c r="J23" s="225">
        <v>42689.63405946402</v>
      </c>
      <c r="K23" s="225">
        <v>23591.597024274768</v>
      </c>
      <c r="L23" s="225">
        <v>1117.4910857112563</v>
      </c>
      <c r="M23" s="225">
        <v>67398.72216945005</v>
      </c>
    </row>
    <row r="24" spans="1:13" s="199" customFormat="1" ht="21">
      <c r="A24" s="196" t="s">
        <v>48</v>
      </c>
      <c r="B24" s="196" t="s">
        <v>55</v>
      </c>
      <c r="C24" s="224" t="s">
        <v>58</v>
      </c>
      <c r="D24" s="225">
        <v>220</v>
      </c>
      <c r="E24" s="225">
        <v>207.5</v>
      </c>
      <c r="F24" s="225">
        <v>10481078.136327712</v>
      </c>
      <c r="G24" s="225">
        <v>5792164.238928701</v>
      </c>
      <c r="H24" s="225">
        <v>274364.2957837156</v>
      </c>
      <c r="I24" s="225">
        <v>16547606.671040127</v>
      </c>
      <c r="J24" s="225">
        <v>47641.26425603505</v>
      </c>
      <c r="K24" s="225">
        <v>26328.01926785773</v>
      </c>
      <c r="L24" s="225">
        <v>1247.1104353805256</v>
      </c>
      <c r="M24" s="225">
        <v>75216.39395927331</v>
      </c>
    </row>
    <row r="25" spans="1:13" s="199" customFormat="1" ht="21">
      <c r="A25" s="196" t="s">
        <v>48</v>
      </c>
      <c r="B25" s="196" t="s">
        <v>55</v>
      </c>
      <c r="C25" s="224" t="s">
        <v>57</v>
      </c>
      <c r="D25" s="225">
        <v>7</v>
      </c>
      <c r="E25" s="225">
        <v>6.44</v>
      </c>
      <c r="F25" s="225">
        <v>325292.2563756649</v>
      </c>
      <c r="G25" s="225">
        <v>179766.4467407269</v>
      </c>
      <c r="H25" s="225">
        <v>8515.209951070497</v>
      </c>
      <c r="I25" s="225">
        <v>513573.9130674623</v>
      </c>
      <c r="J25" s="225">
        <v>46470.3223393807</v>
      </c>
      <c r="K25" s="225">
        <v>25680.920962960987</v>
      </c>
      <c r="L25" s="225">
        <v>1216.4585644386425</v>
      </c>
      <c r="M25" s="225">
        <v>73367.70186678032</v>
      </c>
    </row>
    <row r="26" spans="1:13" s="199" customFormat="1" ht="21">
      <c r="A26" s="196" t="s">
        <v>48</v>
      </c>
      <c r="B26" s="196" t="s">
        <v>49</v>
      </c>
      <c r="C26" s="224" t="s">
        <v>488</v>
      </c>
      <c r="D26" s="225">
        <v>948</v>
      </c>
      <c r="E26" s="225">
        <v>669.28</v>
      </c>
      <c r="F26" s="225">
        <v>21633859.808964424</v>
      </c>
      <c r="G26" s="225">
        <v>18547165.45298865</v>
      </c>
      <c r="H26" s="225">
        <v>1102372.4849954904</v>
      </c>
      <c r="I26" s="225">
        <v>41283397.74694856</v>
      </c>
      <c r="J26" s="223">
        <f>+F26/D26</f>
        <v>22820.527224646015</v>
      </c>
      <c r="K26" s="223">
        <f>+G26/D26</f>
        <v>19564.520520030223</v>
      </c>
      <c r="L26" s="223">
        <f>+H26/D26</f>
        <v>1162.840174045876</v>
      </c>
      <c r="M26" s="223">
        <f>SUM(J26:L26)</f>
        <v>43547.88791872212</v>
      </c>
    </row>
    <row r="27" spans="1:13" s="199" customFormat="1" ht="21">
      <c r="A27" s="196" t="s">
        <v>48</v>
      </c>
      <c r="B27" s="196" t="s">
        <v>49</v>
      </c>
      <c r="C27" s="224" t="s">
        <v>493</v>
      </c>
      <c r="D27" s="225">
        <v>551</v>
      </c>
      <c r="E27" s="225">
        <v>398.22</v>
      </c>
      <c r="F27" s="225">
        <v>12872094.867806917</v>
      </c>
      <c r="G27" s="225">
        <v>11035519.105141554</v>
      </c>
      <c r="H27" s="225">
        <v>655908.9932089772</v>
      </c>
      <c r="I27" s="225">
        <v>24563522.966157448</v>
      </c>
      <c r="J27" s="225">
        <v>23361.33369837916</v>
      </c>
      <c r="K27" s="225">
        <v>20028.16534508449</v>
      </c>
      <c r="L27" s="225">
        <v>1190.397446840249</v>
      </c>
      <c r="M27" s="225">
        <v>44579.8964903039</v>
      </c>
    </row>
    <row r="28" spans="1:13" s="199" customFormat="1" ht="21">
      <c r="A28" s="196" t="s">
        <v>48</v>
      </c>
      <c r="B28" s="196" t="s">
        <v>49</v>
      </c>
      <c r="C28" s="224" t="s">
        <v>494</v>
      </c>
      <c r="D28" s="225">
        <v>590</v>
      </c>
      <c r="E28" s="225">
        <v>403.36</v>
      </c>
      <c r="F28" s="225">
        <v>13038240.63552458</v>
      </c>
      <c r="G28" s="225">
        <v>11177959.384887494</v>
      </c>
      <c r="H28" s="225">
        <v>664375.0979377555</v>
      </c>
      <c r="I28" s="225">
        <v>24880575.118349828</v>
      </c>
      <c r="J28" s="225">
        <v>22098.712941567086</v>
      </c>
      <c r="K28" s="225">
        <v>18945.693872690666</v>
      </c>
      <c r="L28" s="225">
        <v>1126.0594880300941</v>
      </c>
      <c r="M28" s="225">
        <v>42170.466302287845</v>
      </c>
    </row>
    <row r="29" spans="1:13" s="199" customFormat="1" ht="21">
      <c r="A29" s="196" t="s">
        <v>48</v>
      </c>
      <c r="B29" s="196" t="s">
        <v>49</v>
      </c>
      <c r="C29" s="224" t="s">
        <v>495</v>
      </c>
      <c r="D29" s="225">
        <v>444</v>
      </c>
      <c r="E29" s="225">
        <v>315.61</v>
      </c>
      <c r="F29" s="225">
        <v>10201802.674974991</v>
      </c>
      <c r="G29" s="225">
        <v>8746221.146034168</v>
      </c>
      <c r="H29" s="225">
        <v>519841.8897762173</v>
      </c>
      <c r="I29" s="225">
        <v>19467865.710785378</v>
      </c>
      <c r="J29" s="225">
        <v>22977.033051745475</v>
      </c>
      <c r="K29" s="225">
        <v>19698.69627485173</v>
      </c>
      <c r="L29" s="225">
        <v>1170.8150670635525</v>
      </c>
      <c r="M29" s="225">
        <v>43846.544393660755</v>
      </c>
    </row>
    <row r="30" spans="1:13" s="199" customFormat="1" ht="21">
      <c r="A30" s="196" t="s">
        <v>48</v>
      </c>
      <c r="B30" s="196" t="s">
        <v>49</v>
      </c>
      <c r="C30" s="224" t="s">
        <v>496</v>
      </c>
      <c r="D30" s="225">
        <v>323</v>
      </c>
      <c r="E30" s="225">
        <v>204.97</v>
      </c>
      <c r="F30" s="225">
        <v>6625466.538733322</v>
      </c>
      <c r="G30" s="225">
        <v>5680152.55632782</v>
      </c>
      <c r="H30" s="225">
        <v>337606.5148361309</v>
      </c>
      <c r="I30" s="225">
        <v>12643225.609897273</v>
      </c>
      <c r="J30" s="225">
        <v>20512.28030567592</v>
      </c>
      <c r="K30" s="225">
        <v>17585.611629497893</v>
      </c>
      <c r="L30" s="225">
        <v>1045.2214081613959</v>
      </c>
      <c r="M30" s="225">
        <v>39143.11334333521</v>
      </c>
    </row>
    <row r="31" spans="1:13" ht="21">
      <c r="A31" s="196" t="s">
        <v>48</v>
      </c>
      <c r="B31" s="197" t="s">
        <v>49</v>
      </c>
      <c r="C31" s="198" t="s">
        <v>497</v>
      </c>
      <c r="D31" s="203">
        <v>862</v>
      </c>
      <c r="E31" s="203">
        <v>633.78</v>
      </c>
      <c r="F31" s="203">
        <v>20486354.993015587</v>
      </c>
      <c r="G31" s="203">
        <v>17563385.310774483</v>
      </c>
      <c r="H31" s="203">
        <v>1043900.3608959507</v>
      </c>
      <c r="I31" s="203">
        <v>39093640.664686024</v>
      </c>
      <c r="J31" s="203">
        <v>23766.073077744302</v>
      </c>
      <c r="K31" s="203">
        <v>20375.156973056244</v>
      </c>
      <c r="L31" s="203">
        <v>1211.0213003433303</v>
      </c>
      <c r="M31" s="203">
        <v>45352.251351143874</v>
      </c>
    </row>
    <row r="32" spans="1:13" s="199" customFormat="1" ht="21">
      <c r="A32" s="196" t="s">
        <v>48</v>
      </c>
      <c r="B32" s="196" t="s">
        <v>49</v>
      </c>
      <c r="C32" s="224" t="s">
        <v>498</v>
      </c>
      <c r="D32" s="225">
        <v>130</v>
      </c>
      <c r="E32" s="225">
        <v>72.64</v>
      </c>
      <c r="F32" s="225">
        <v>2348021.1219865764</v>
      </c>
      <c r="G32" s="225">
        <v>2013008.1557869583</v>
      </c>
      <c r="H32" s="225">
        <v>119645.49562226934</v>
      </c>
      <c r="I32" s="225">
        <v>4480674.773395805</v>
      </c>
      <c r="J32" s="225">
        <v>18061.70093835828</v>
      </c>
      <c r="K32" s="225">
        <v>15484.67812143814</v>
      </c>
      <c r="L32" s="225">
        <v>920.3499663251488</v>
      </c>
      <c r="M32" s="225">
        <v>34466.729026121575</v>
      </c>
    </row>
    <row r="33" spans="1:13" s="199" customFormat="1" ht="21">
      <c r="A33" s="196" t="s">
        <v>473</v>
      </c>
      <c r="B33" s="196" t="s">
        <v>61</v>
      </c>
      <c r="C33" s="224" t="s">
        <v>503</v>
      </c>
      <c r="D33" s="225">
        <v>91</v>
      </c>
      <c r="E33" s="225">
        <v>70.44</v>
      </c>
      <c r="F33" s="225">
        <v>5092932.450387476</v>
      </c>
      <c r="G33" s="225">
        <v>1953341.6151391936</v>
      </c>
      <c r="H33" s="225">
        <v>131393.00055535877</v>
      </c>
      <c r="I33" s="225">
        <v>7177667.066082029</v>
      </c>
      <c r="J33" s="225">
        <v>55966.29066359864</v>
      </c>
      <c r="K33" s="225">
        <v>21465.292474057074</v>
      </c>
      <c r="L33" s="225">
        <v>1443.8791269819644</v>
      </c>
      <c r="M33" s="225">
        <v>78875.46226463768</v>
      </c>
    </row>
    <row r="34" spans="1:13" s="199" customFormat="1" ht="21">
      <c r="A34" s="196" t="s">
        <v>473</v>
      </c>
      <c r="B34" s="196" t="s">
        <v>61</v>
      </c>
      <c r="C34" s="224" t="s">
        <v>504</v>
      </c>
      <c r="D34" s="225">
        <v>8</v>
      </c>
      <c r="E34" s="225">
        <v>3.78</v>
      </c>
      <c r="F34" s="225">
        <v>273300.4636920025</v>
      </c>
      <c r="G34" s="225">
        <v>104821.56878515265</v>
      </c>
      <c r="H34" s="225">
        <v>7050.902074095063</v>
      </c>
      <c r="I34" s="225">
        <v>385172.9345512502</v>
      </c>
      <c r="J34" s="225">
        <v>34162.557961500315</v>
      </c>
      <c r="K34" s="225">
        <v>13102.69609814408</v>
      </c>
      <c r="L34" s="225">
        <v>881.3627592618828</v>
      </c>
      <c r="M34" s="225">
        <v>48146.6168189062</v>
      </c>
    </row>
    <row r="35" spans="1:13" s="199" customFormat="1" ht="21">
      <c r="A35" s="196" t="s">
        <v>473</v>
      </c>
      <c r="B35" s="196" t="s">
        <v>102</v>
      </c>
      <c r="C35" s="224" t="s">
        <v>505</v>
      </c>
      <c r="D35" s="225">
        <v>99</v>
      </c>
      <c r="E35" s="225">
        <v>84.31</v>
      </c>
      <c r="F35" s="225">
        <v>8445940.32634021</v>
      </c>
      <c r="G35" s="225">
        <v>6402464.374442277</v>
      </c>
      <c r="H35" s="225">
        <v>122714.33941643016</v>
      </c>
      <c r="I35" s="225">
        <v>14971119.040198915</v>
      </c>
      <c r="J35" s="225">
        <v>85312.528548891</v>
      </c>
      <c r="K35" s="225">
        <v>64671.357317598755</v>
      </c>
      <c r="L35" s="225">
        <v>1239.538781984143</v>
      </c>
      <c r="M35" s="225">
        <v>151223.4246484739</v>
      </c>
    </row>
    <row r="36" spans="1:13" ht="21">
      <c r="A36" s="196" t="s">
        <v>473</v>
      </c>
      <c r="B36" s="197" t="s">
        <v>102</v>
      </c>
      <c r="C36" s="198" t="s">
        <v>506</v>
      </c>
      <c r="D36" s="203">
        <v>14</v>
      </c>
      <c r="E36" s="203">
        <v>5</v>
      </c>
      <c r="F36" s="203">
        <v>500886.0352473141</v>
      </c>
      <c r="G36" s="203">
        <v>379697.80420129735</v>
      </c>
      <c r="H36" s="203">
        <v>7277.5672765051695</v>
      </c>
      <c r="I36" s="203">
        <v>887861.4067251167</v>
      </c>
      <c r="J36" s="203">
        <v>35777.57394623672</v>
      </c>
      <c r="K36" s="203">
        <v>27121.271728664095</v>
      </c>
      <c r="L36" s="203">
        <v>519.8262340360835</v>
      </c>
      <c r="M36" s="203">
        <v>63418.6719089369</v>
      </c>
    </row>
    <row r="37" spans="1:13" ht="21.75" customHeight="1">
      <c r="A37" s="233"/>
      <c r="B37" s="233"/>
      <c r="C37" s="231" t="s">
        <v>155</v>
      </c>
      <c r="D37" s="228">
        <f aca="true" t="shared" si="2" ref="D37:I37">SUM(D17:D36)</f>
        <v>4829</v>
      </c>
      <c r="E37" s="228">
        <f t="shared" si="2"/>
        <v>3562.7200000000003</v>
      </c>
      <c r="F37" s="228">
        <f t="shared" si="2"/>
        <v>136943933.79306242</v>
      </c>
      <c r="G37" s="228">
        <f t="shared" si="2"/>
        <v>103180693.32119754</v>
      </c>
      <c r="H37" s="228">
        <f t="shared" si="2"/>
        <v>5639411.521592738</v>
      </c>
      <c r="I37" s="228">
        <f t="shared" si="2"/>
        <v>245764038.6358527</v>
      </c>
      <c r="J37" s="228">
        <f>+F37/D37</f>
        <v>28358.65268027799</v>
      </c>
      <c r="K37" s="228">
        <f>+G37/D37</f>
        <v>21366.886171297894</v>
      </c>
      <c r="L37" s="228">
        <f>+H37/D37</f>
        <v>1167.8218102283574</v>
      </c>
      <c r="M37" s="228">
        <f>SUM(J37:L37)</f>
        <v>50893.36066180424</v>
      </c>
    </row>
    <row r="38" spans="1:13" ht="21">
      <c r="A38" s="233"/>
      <c r="B38" s="233"/>
      <c r="C38" s="231" t="s">
        <v>153</v>
      </c>
      <c r="D38" s="311"/>
      <c r="E38" s="312"/>
      <c r="F38" s="312"/>
      <c r="G38" s="312"/>
      <c r="H38" s="312"/>
      <c r="I38" s="313"/>
      <c r="J38" s="228">
        <f>+J37*100/M37</f>
        <v>55.72171362140234</v>
      </c>
      <c r="K38" s="228">
        <f>+K37*100/M37</f>
        <v>41.98364166454793</v>
      </c>
      <c r="L38" s="228">
        <f>+L37*100/M37</f>
        <v>2.2946447140497335</v>
      </c>
      <c r="M38" s="228">
        <f>SUM(J38:L38)</f>
        <v>100.00000000000001</v>
      </c>
    </row>
    <row r="39" spans="1:13" s="199" customFormat="1" ht="21">
      <c r="A39" s="196" t="s">
        <v>484</v>
      </c>
      <c r="B39" s="196" t="s">
        <v>76</v>
      </c>
      <c r="C39" s="224" t="s">
        <v>84</v>
      </c>
      <c r="D39" s="225">
        <v>67</v>
      </c>
      <c r="E39" s="225">
        <v>61.97</v>
      </c>
      <c r="F39" s="225">
        <v>6310286.4954324365</v>
      </c>
      <c r="G39" s="225">
        <v>3119020.4208613415</v>
      </c>
      <c r="H39" s="225">
        <v>81939.0613722758</v>
      </c>
      <c r="I39" s="225">
        <v>9511245.977666054</v>
      </c>
      <c r="J39" s="225">
        <v>94183.38052884233</v>
      </c>
      <c r="K39" s="225">
        <v>46552.5435949454</v>
      </c>
      <c r="L39" s="225">
        <v>1222.9710652578478</v>
      </c>
      <c r="M39" s="225">
        <v>141958.89518904558</v>
      </c>
    </row>
    <row r="40" spans="1:13" ht="21.75" customHeight="1">
      <c r="A40" s="233"/>
      <c r="B40" s="233"/>
      <c r="C40" s="231" t="s">
        <v>155</v>
      </c>
      <c r="D40" s="228">
        <f aca="true" t="shared" si="3" ref="D40:I40">SUM(D39)</f>
        <v>67</v>
      </c>
      <c r="E40" s="228">
        <f t="shared" si="3"/>
        <v>61.97</v>
      </c>
      <c r="F40" s="228">
        <f t="shared" si="3"/>
        <v>6310286.4954324365</v>
      </c>
      <c r="G40" s="228">
        <f t="shared" si="3"/>
        <v>3119020.4208613415</v>
      </c>
      <c r="H40" s="228">
        <f t="shared" si="3"/>
        <v>81939.0613722758</v>
      </c>
      <c r="I40" s="228">
        <f t="shared" si="3"/>
        <v>9511245.977666054</v>
      </c>
      <c r="J40" s="228">
        <f>+F40/D40</f>
        <v>94183.38052884233</v>
      </c>
      <c r="K40" s="228">
        <f>+G40/D40</f>
        <v>46552.5435949454</v>
      </c>
      <c r="L40" s="228">
        <f>+H40/D40</f>
        <v>1222.9710652578478</v>
      </c>
      <c r="M40" s="228">
        <f>SUM(J40:L40)</f>
        <v>141958.89518904558</v>
      </c>
    </row>
    <row r="41" spans="1:13" ht="21">
      <c r="A41" s="233"/>
      <c r="B41" s="233"/>
      <c r="C41" s="231" t="s">
        <v>153</v>
      </c>
      <c r="D41" s="311"/>
      <c r="E41" s="312"/>
      <c r="F41" s="312"/>
      <c r="G41" s="312"/>
      <c r="H41" s="312"/>
      <c r="I41" s="313"/>
      <c r="J41" s="228">
        <f>+J40*100/M40</f>
        <v>66.34552938963003</v>
      </c>
      <c r="K41" s="228">
        <f>+K40*100/M40</f>
        <v>32.79297400346187</v>
      </c>
      <c r="L41" s="228">
        <f>+L40*100/M40</f>
        <v>0.8614966069080958</v>
      </c>
      <c r="M41" s="228">
        <f>SUM(J41:L41)</f>
        <v>99.99999999999999</v>
      </c>
    </row>
    <row r="42" spans="1:13" s="199" customFormat="1" ht="21">
      <c r="A42" s="196" t="s">
        <v>509</v>
      </c>
      <c r="B42" s="196" t="s">
        <v>104</v>
      </c>
      <c r="C42" s="224" t="s">
        <v>499</v>
      </c>
      <c r="D42" s="225">
        <v>63</v>
      </c>
      <c r="E42" s="225">
        <v>36.75</v>
      </c>
      <c r="F42" s="225">
        <v>1836762.5358697034</v>
      </c>
      <c r="G42" s="225">
        <v>1357247.513626658</v>
      </c>
      <c r="H42" s="225">
        <v>84079.88629269028</v>
      </c>
      <c r="I42" s="225">
        <v>3278089.9357890515</v>
      </c>
      <c r="J42" s="225">
        <v>29154.96088682069</v>
      </c>
      <c r="K42" s="225">
        <v>21543.611327407267</v>
      </c>
      <c r="L42" s="225">
        <v>1334.6013697252426</v>
      </c>
      <c r="M42" s="225">
        <v>52033.1735839532</v>
      </c>
    </row>
    <row r="43" spans="1:13" s="199" customFormat="1" ht="21">
      <c r="A43" s="196" t="s">
        <v>253</v>
      </c>
      <c r="B43" s="196" t="s">
        <v>104</v>
      </c>
      <c r="C43" s="224" t="s">
        <v>96</v>
      </c>
      <c r="D43" s="225">
        <v>101</v>
      </c>
      <c r="E43" s="225">
        <v>79.03</v>
      </c>
      <c r="F43" s="225">
        <v>3949914.1009464674</v>
      </c>
      <c r="G43" s="225">
        <v>2918728.4626371367</v>
      </c>
      <c r="H43" s="225">
        <v>180811.79357037586</v>
      </c>
      <c r="I43" s="225">
        <v>7049454.35715398</v>
      </c>
      <c r="J43" s="225">
        <v>39108.06040541057</v>
      </c>
      <c r="K43" s="225">
        <v>28898.30161026868</v>
      </c>
      <c r="L43" s="225">
        <v>1790.2157779245135</v>
      </c>
      <c r="M43" s="225">
        <v>69796.57779360376</v>
      </c>
    </row>
    <row r="44" spans="1:13" ht="21">
      <c r="A44" s="196" t="s">
        <v>253</v>
      </c>
      <c r="B44" s="197" t="s">
        <v>104</v>
      </c>
      <c r="C44" s="198" t="s">
        <v>105</v>
      </c>
      <c r="D44" s="203">
        <v>184</v>
      </c>
      <c r="E44" s="203">
        <v>131.06</v>
      </c>
      <c r="F44" s="203">
        <v>6550370.012274376</v>
      </c>
      <c r="G44" s="203">
        <v>4840295.486691423</v>
      </c>
      <c r="H44" s="203">
        <v>299850.6094563262</v>
      </c>
      <c r="I44" s="203">
        <v>11690516.108422127</v>
      </c>
      <c r="J44" s="203">
        <v>35599.837023230306</v>
      </c>
      <c r="K44" s="203">
        <v>26305.953732018603</v>
      </c>
      <c r="L44" s="203">
        <v>1629.6228774800336</v>
      </c>
      <c r="M44" s="203">
        <v>63535.41363272894</v>
      </c>
    </row>
    <row r="45" spans="1:13" s="199" customFormat="1" ht="21">
      <c r="A45" s="196" t="s">
        <v>253</v>
      </c>
      <c r="B45" s="196" t="s">
        <v>104</v>
      </c>
      <c r="C45" s="224" t="s">
        <v>106</v>
      </c>
      <c r="D45" s="225">
        <v>165</v>
      </c>
      <c r="E45" s="225">
        <v>125.28</v>
      </c>
      <c r="F45" s="225">
        <v>6261485.999830107</v>
      </c>
      <c r="G45" s="225">
        <v>4626829.075024427</v>
      </c>
      <c r="H45" s="225">
        <v>286626.61645573436</v>
      </c>
      <c r="I45" s="225">
        <v>11174941.691310268</v>
      </c>
      <c r="J45" s="225">
        <v>37948.399998970344</v>
      </c>
      <c r="K45" s="225">
        <v>28041.388333481376</v>
      </c>
      <c r="L45" s="225">
        <v>1737.1310088226326</v>
      </c>
      <c r="M45" s="225">
        <v>67726.91934127435</v>
      </c>
    </row>
    <row r="46" spans="1:13" ht="21">
      <c r="A46" s="196" t="s">
        <v>253</v>
      </c>
      <c r="B46" s="197" t="s">
        <v>104</v>
      </c>
      <c r="C46" s="198" t="s">
        <v>500</v>
      </c>
      <c r="D46" s="203">
        <v>61</v>
      </c>
      <c r="E46" s="203">
        <v>46.69</v>
      </c>
      <c r="F46" s="203">
        <v>2333563.069381128</v>
      </c>
      <c r="G46" s="203">
        <v>1724350.6506456775</v>
      </c>
      <c r="H46" s="203">
        <v>106821.4936328084</v>
      </c>
      <c r="I46" s="203">
        <v>4164735.213659614</v>
      </c>
      <c r="J46" s="203">
        <v>38255.132284936524</v>
      </c>
      <c r="K46" s="203">
        <v>28268.04345320783</v>
      </c>
      <c r="L46" s="203">
        <v>1751.1720267673509</v>
      </c>
      <c r="M46" s="203">
        <v>68274.3477649117</v>
      </c>
    </row>
    <row r="47" spans="1:13" s="199" customFormat="1" ht="21">
      <c r="A47" s="196" t="s">
        <v>253</v>
      </c>
      <c r="B47" s="196" t="s">
        <v>104</v>
      </c>
      <c r="C47" s="224" t="s">
        <v>501</v>
      </c>
      <c r="D47" s="225">
        <v>58</v>
      </c>
      <c r="E47" s="225">
        <v>45.72</v>
      </c>
      <c r="F47" s="225">
        <v>2285082.5344207576</v>
      </c>
      <c r="G47" s="225">
        <v>1688526.7026669602</v>
      </c>
      <c r="H47" s="225">
        <v>104602.24221229386</v>
      </c>
      <c r="I47" s="225">
        <v>4078211.4793000114</v>
      </c>
      <c r="J47" s="225">
        <v>39397.97473139237</v>
      </c>
      <c r="K47" s="225">
        <v>29112.5293563269</v>
      </c>
      <c r="L47" s="225">
        <v>1803.4869346947216</v>
      </c>
      <c r="M47" s="225">
        <v>70313.991022414</v>
      </c>
    </row>
    <row r="48" spans="1:13" s="199" customFormat="1" ht="21">
      <c r="A48" s="196" t="s">
        <v>253</v>
      </c>
      <c r="B48" s="196" t="s">
        <v>104</v>
      </c>
      <c r="C48" s="224" t="s">
        <v>502</v>
      </c>
      <c r="D48" s="225">
        <v>61</v>
      </c>
      <c r="E48" s="225">
        <v>44.67</v>
      </c>
      <c r="F48" s="225">
        <v>2232603.6048244806</v>
      </c>
      <c r="G48" s="225">
        <v>1649748.2022776273</v>
      </c>
      <c r="H48" s="225">
        <v>102199.95974678843</v>
      </c>
      <c r="I48" s="225">
        <v>3984551.766848896</v>
      </c>
      <c r="J48" s="225">
        <v>36600.05909548329</v>
      </c>
      <c r="K48" s="225">
        <v>27045.052496354547</v>
      </c>
      <c r="L48" s="225">
        <v>1675.4091761768595</v>
      </c>
      <c r="M48" s="225">
        <v>65320.52076801469</v>
      </c>
    </row>
    <row r="49" spans="1:13" ht="21.75" customHeight="1">
      <c r="A49" s="233"/>
      <c r="B49" s="233"/>
      <c r="C49" s="231" t="s">
        <v>155</v>
      </c>
      <c r="D49" s="228">
        <f aca="true" t="shared" si="4" ref="D49:I49">SUM(D42:D48)</f>
        <v>693</v>
      </c>
      <c r="E49" s="228">
        <f t="shared" si="4"/>
        <v>509.2</v>
      </c>
      <c r="F49" s="228">
        <f t="shared" si="4"/>
        <v>25449781.857547022</v>
      </c>
      <c r="G49" s="228">
        <f t="shared" si="4"/>
        <v>18805726.09356991</v>
      </c>
      <c r="H49" s="228">
        <f t="shared" si="4"/>
        <v>1164992.6013670175</v>
      </c>
      <c r="I49" s="228">
        <f t="shared" si="4"/>
        <v>45420500.55248395</v>
      </c>
      <c r="J49" s="228">
        <f>+F49/D49</f>
        <v>36724.071944512296</v>
      </c>
      <c r="K49" s="228">
        <f>+G49/D49</f>
        <v>27136.689889711266</v>
      </c>
      <c r="L49" s="228">
        <f>+H49/D49</f>
        <v>1681.0860048586112</v>
      </c>
      <c r="M49" s="228">
        <f>SUM(J49:L49)</f>
        <v>65541.84783908218</v>
      </c>
    </row>
    <row r="50" spans="1:13" s="164" customFormat="1" ht="21">
      <c r="A50" s="236"/>
      <c r="B50" s="236"/>
      <c r="C50" s="234" t="s">
        <v>153</v>
      </c>
      <c r="D50" s="314"/>
      <c r="E50" s="315"/>
      <c r="F50" s="315"/>
      <c r="G50" s="315"/>
      <c r="H50" s="315"/>
      <c r="I50" s="316"/>
      <c r="J50" s="235">
        <f>+J49*100/M49</f>
        <v>56.0314869893155</v>
      </c>
      <c r="K50" s="235">
        <f>+K49*100/M49</f>
        <v>41.40360820515322</v>
      </c>
      <c r="L50" s="235">
        <f>+L49*100/M49</f>
        <v>2.564904805531269</v>
      </c>
      <c r="M50" s="235">
        <f>SUM(J50:L50)</f>
        <v>99.99999999999999</v>
      </c>
    </row>
    <row r="51" spans="1:13" s="248" customFormat="1" ht="21">
      <c r="A51" s="246" t="s">
        <v>524</v>
      </c>
      <c r="B51" s="246" t="s">
        <v>63</v>
      </c>
      <c r="C51" s="247" t="s">
        <v>65</v>
      </c>
      <c r="D51" s="223">
        <v>170</v>
      </c>
      <c r="E51" s="223">
        <v>129.72</v>
      </c>
      <c r="F51" s="223">
        <v>6283256.999152488</v>
      </c>
      <c r="G51" s="223">
        <v>4408494.447322565</v>
      </c>
      <c r="H51" s="223">
        <v>313717.7126752761</v>
      </c>
      <c r="I51" s="223">
        <v>11005469.159150328</v>
      </c>
      <c r="J51" s="223">
        <v>36960.33528913228</v>
      </c>
      <c r="K51" s="223">
        <v>25932.32027836803</v>
      </c>
      <c r="L51" s="223">
        <v>1845.3983098545652</v>
      </c>
      <c r="M51" s="223">
        <v>64738.053877354876</v>
      </c>
    </row>
    <row r="52" spans="1:13" s="248" customFormat="1" ht="21">
      <c r="A52" s="246" t="s">
        <v>525</v>
      </c>
      <c r="B52" s="246" t="s">
        <v>63</v>
      </c>
      <c r="C52" s="247" t="s">
        <v>67</v>
      </c>
      <c r="D52" s="223">
        <v>457</v>
      </c>
      <c r="E52" s="223">
        <v>323.75</v>
      </c>
      <c r="F52" s="223">
        <v>15681502.108199337</v>
      </c>
      <c r="G52" s="223">
        <v>11002544.536853842</v>
      </c>
      <c r="H52" s="223">
        <v>782964.1495422497</v>
      </c>
      <c r="I52" s="223">
        <v>27467010.794595428</v>
      </c>
      <c r="J52" s="223">
        <v>34314.00898949527</v>
      </c>
      <c r="K52" s="223">
        <v>24075.589796179087</v>
      </c>
      <c r="L52" s="223">
        <v>1713.2694738342445</v>
      </c>
      <c r="M52" s="223">
        <v>60102.86825950861</v>
      </c>
    </row>
    <row r="53" spans="1:13" s="164" customFormat="1" ht="21.75" customHeight="1">
      <c r="A53" s="236"/>
      <c r="B53" s="236"/>
      <c r="C53" s="234" t="s">
        <v>155</v>
      </c>
      <c r="D53" s="235">
        <f aca="true" t="shared" si="5" ref="D53:I53">SUM(D51:D52)</f>
        <v>627</v>
      </c>
      <c r="E53" s="235">
        <f t="shared" si="5"/>
        <v>453.47</v>
      </c>
      <c r="F53" s="235">
        <f t="shared" si="5"/>
        <v>21964759.107351825</v>
      </c>
      <c r="G53" s="235">
        <f t="shared" si="5"/>
        <v>15411038.984176408</v>
      </c>
      <c r="H53" s="235">
        <f t="shared" si="5"/>
        <v>1096681.862217526</v>
      </c>
      <c r="I53" s="235">
        <f t="shared" si="5"/>
        <v>38472479.95374575</v>
      </c>
      <c r="J53" s="235">
        <f>+F53/D53</f>
        <v>35031.51372783385</v>
      </c>
      <c r="K53" s="235">
        <f>+G53/D53</f>
        <v>24579.009544141</v>
      </c>
      <c r="L53" s="235">
        <f>+H53/D53</f>
        <v>1749.09387913481</v>
      </c>
      <c r="M53" s="235">
        <f>SUM(J53:L53)</f>
        <v>61359.61715110966</v>
      </c>
    </row>
    <row r="54" spans="1:13" s="164" customFormat="1" ht="21">
      <c r="A54" s="236"/>
      <c r="B54" s="236"/>
      <c r="C54" s="234" t="s">
        <v>153</v>
      </c>
      <c r="D54" s="314"/>
      <c r="E54" s="315"/>
      <c r="F54" s="315"/>
      <c r="G54" s="315"/>
      <c r="H54" s="315"/>
      <c r="I54" s="316"/>
      <c r="J54" s="235">
        <f>+J53*100/M53</f>
        <v>57.09213217801233</v>
      </c>
      <c r="K54" s="235">
        <f>+K53*100/M53</f>
        <v>40.05730590464823</v>
      </c>
      <c r="L54" s="235">
        <f>+L53*100/M53</f>
        <v>2.8505619173394376</v>
      </c>
      <c r="M54" s="235">
        <f>SUM(J54:L54)</f>
        <v>100</v>
      </c>
    </row>
    <row r="55" spans="1:13" s="248" customFormat="1" ht="21">
      <c r="A55" s="246" t="s">
        <v>52</v>
      </c>
      <c r="B55" s="246" t="s">
        <v>49</v>
      </c>
      <c r="C55" s="247" t="s">
        <v>44</v>
      </c>
      <c r="D55" s="223">
        <v>983</v>
      </c>
      <c r="E55" s="223">
        <v>717.06</v>
      </c>
      <c r="F55" s="223">
        <v>23178304.31899359</v>
      </c>
      <c r="G55" s="223">
        <v>19871250.388058867</v>
      </c>
      <c r="H55" s="223">
        <v>1181071.022727209</v>
      </c>
      <c r="I55" s="223">
        <v>44230625.72977966</v>
      </c>
      <c r="J55" s="223">
        <v>23579.149866727967</v>
      </c>
      <c r="K55" s="223">
        <v>20214.90375184015</v>
      </c>
      <c r="L55" s="223">
        <v>1201.4964625912603</v>
      </c>
      <c r="M55" s="223">
        <v>44995.550081159374</v>
      </c>
    </row>
    <row r="56" spans="1:13" s="199" customFormat="1" ht="21">
      <c r="A56" s="196" t="s">
        <v>52</v>
      </c>
      <c r="B56" s="196" t="s">
        <v>61</v>
      </c>
      <c r="C56" s="224" t="s">
        <v>149</v>
      </c>
      <c r="D56" s="225">
        <v>141</v>
      </c>
      <c r="E56" s="225">
        <v>140.92</v>
      </c>
      <c r="F56" s="225">
        <v>10188756.96917381</v>
      </c>
      <c r="G56" s="225">
        <v>3907792.453228495</v>
      </c>
      <c r="H56" s="225">
        <v>262860.61383107834</v>
      </c>
      <c r="I56" s="225">
        <v>14359410.036233382</v>
      </c>
      <c r="J56" s="225">
        <v>72260.68772463694</v>
      </c>
      <c r="K56" s="225">
        <v>27714.840093819115</v>
      </c>
      <c r="L56" s="225">
        <v>1864.2596725608394</v>
      </c>
      <c r="M56" s="225">
        <v>101839.7874910169</v>
      </c>
    </row>
    <row r="57" spans="1:13" s="199" customFormat="1" ht="21">
      <c r="A57" s="196" t="s">
        <v>52</v>
      </c>
      <c r="B57" s="196" t="s">
        <v>102</v>
      </c>
      <c r="C57" s="224" t="s">
        <v>149</v>
      </c>
      <c r="D57" s="225">
        <v>49</v>
      </c>
      <c r="E57" s="225">
        <v>45.81</v>
      </c>
      <c r="F57" s="225">
        <v>4589117.854935892</v>
      </c>
      <c r="G57" s="225">
        <v>3478791.2820922867</v>
      </c>
      <c r="H57" s="225">
        <v>66677.07138734036</v>
      </c>
      <c r="I57" s="225">
        <v>8134586.2084155185</v>
      </c>
      <c r="J57" s="225">
        <v>93655.4664272631</v>
      </c>
      <c r="K57" s="225">
        <v>70995.740450863</v>
      </c>
      <c r="L57" s="225">
        <v>1360.7565589253134</v>
      </c>
      <c r="M57" s="225">
        <v>166011.96343705142</v>
      </c>
    </row>
    <row r="58" spans="1:13" s="199" customFormat="1" ht="21">
      <c r="A58" s="196" t="s">
        <v>52</v>
      </c>
      <c r="B58" s="196" t="s">
        <v>43</v>
      </c>
      <c r="C58" s="224" t="s">
        <v>44</v>
      </c>
      <c r="D58" s="225">
        <v>67</v>
      </c>
      <c r="E58" s="225">
        <v>67.61</v>
      </c>
      <c r="F58" s="225">
        <v>5930309.810205784</v>
      </c>
      <c r="G58" s="225">
        <v>3666189.638018433</v>
      </c>
      <c r="H58" s="225">
        <v>116059.31740505324</v>
      </c>
      <c r="I58" s="225">
        <v>9712558.76562927</v>
      </c>
      <c r="J58" s="225">
        <v>88512.0867194893</v>
      </c>
      <c r="K58" s="225">
        <v>54719.24832863333</v>
      </c>
      <c r="L58" s="225">
        <v>1732.2286179858693</v>
      </c>
      <c r="M58" s="225">
        <v>144963.5636661085</v>
      </c>
    </row>
    <row r="59" spans="1:13" s="199" customFormat="1" ht="21">
      <c r="A59" s="196" t="s">
        <v>510</v>
      </c>
      <c r="B59" s="196" t="s">
        <v>55</v>
      </c>
      <c r="C59" s="224" t="s">
        <v>149</v>
      </c>
      <c r="D59" s="225">
        <v>477</v>
      </c>
      <c r="E59" s="225">
        <v>424.78</v>
      </c>
      <c r="F59" s="225">
        <v>21456156.00361101</v>
      </c>
      <c r="G59" s="225">
        <v>11857327.833311487</v>
      </c>
      <c r="H59" s="225">
        <v>561660.075002442</v>
      </c>
      <c r="I59" s="225">
        <v>33875143.911924936</v>
      </c>
      <c r="J59" s="225">
        <v>44981.45912706711</v>
      </c>
      <c r="K59" s="225">
        <v>24858.12962958383</v>
      </c>
      <c r="L59" s="225">
        <v>1177.4844339673837</v>
      </c>
      <c r="M59" s="225">
        <v>71017.07319061832</v>
      </c>
    </row>
    <row r="60" spans="1:13" ht="21.75" customHeight="1">
      <c r="A60" s="233"/>
      <c r="B60" s="233"/>
      <c r="C60" s="231" t="s">
        <v>155</v>
      </c>
      <c r="D60" s="228">
        <f aca="true" t="shared" si="6" ref="D60:I60">SUM(D55:D59)</f>
        <v>1717</v>
      </c>
      <c r="E60" s="228">
        <f t="shared" si="6"/>
        <v>1396.1799999999998</v>
      </c>
      <c r="F60" s="228">
        <f t="shared" si="6"/>
        <v>65342644.95692009</v>
      </c>
      <c r="G60" s="228">
        <f t="shared" si="6"/>
        <v>42781351.594709575</v>
      </c>
      <c r="H60" s="228">
        <f t="shared" si="6"/>
        <v>2188328.1003531227</v>
      </c>
      <c r="I60" s="228">
        <f t="shared" si="6"/>
        <v>110312324.65198275</v>
      </c>
      <c r="J60" s="228">
        <f>+F60/D60</f>
        <v>38056.28710362265</v>
      </c>
      <c r="K60" s="228">
        <f>+G60/D60</f>
        <v>24916.337562440054</v>
      </c>
      <c r="L60" s="228">
        <f>+H60/D60</f>
        <v>1274.5067561753772</v>
      </c>
      <c r="M60" s="228">
        <f>SUM(J60:L60)</f>
        <v>64247.13142223808</v>
      </c>
    </row>
    <row r="61" spans="1:13" ht="21">
      <c r="A61" s="233"/>
      <c r="B61" s="233"/>
      <c r="C61" s="231" t="s">
        <v>153</v>
      </c>
      <c r="D61" s="311"/>
      <c r="E61" s="312"/>
      <c r="F61" s="312"/>
      <c r="G61" s="312"/>
      <c r="H61" s="312"/>
      <c r="I61" s="313"/>
      <c r="J61" s="228">
        <f>+J60*100/M60</f>
        <v>59.23421989615881</v>
      </c>
      <c r="K61" s="228">
        <f>+K60*100/M60</f>
        <v>38.78202343181299</v>
      </c>
      <c r="L61" s="228">
        <f>+L60*100/M60</f>
        <v>1.9837566720282047</v>
      </c>
      <c r="M61" s="228">
        <f>SUM(J61:L61)</f>
        <v>100.00000000000001</v>
      </c>
    </row>
    <row r="62" spans="1:13" s="199" customFormat="1" ht="21">
      <c r="A62" s="196" t="s">
        <v>476</v>
      </c>
      <c r="B62" s="196" t="s">
        <v>73</v>
      </c>
      <c r="C62" s="224" t="s">
        <v>72</v>
      </c>
      <c r="D62" s="225">
        <v>232</v>
      </c>
      <c r="E62" s="225">
        <v>193.31</v>
      </c>
      <c r="F62" s="225">
        <v>10861958.34663742</v>
      </c>
      <c r="G62" s="225">
        <v>8577880.048405359</v>
      </c>
      <c r="H62" s="225">
        <v>323519.4686415725</v>
      </c>
      <c r="I62" s="225">
        <v>19763357.86368435</v>
      </c>
      <c r="J62" s="225">
        <v>46818.78597688543</v>
      </c>
      <c r="K62" s="225">
        <v>36973.62089829896</v>
      </c>
      <c r="L62" s="225">
        <v>1394.4804682826402</v>
      </c>
      <c r="M62" s="225">
        <v>85186.88734346702</v>
      </c>
    </row>
    <row r="63" spans="1:13" s="199" customFormat="1" ht="21">
      <c r="A63" s="196" t="s">
        <v>476</v>
      </c>
      <c r="B63" s="196" t="s">
        <v>73</v>
      </c>
      <c r="C63" s="224" t="s">
        <v>74</v>
      </c>
      <c r="D63" s="225">
        <v>252</v>
      </c>
      <c r="E63" s="225">
        <v>200.55</v>
      </c>
      <c r="F63" s="225">
        <v>11268769.057048962</v>
      </c>
      <c r="G63" s="225">
        <v>8899145.640203273</v>
      </c>
      <c r="H63" s="225">
        <v>335636.17731140327</v>
      </c>
      <c r="I63" s="225">
        <v>20503550.874563638</v>
      </c>
      <c r="J63" s="225">
        <v>44717.33752797207</v>
      </c>
      <c r="K63" s="225">
        <v>35314.07000080664</v>
      </c>
      <c r="L63" s="225">
        <v>1331.8895925055685</v>
      </c>
      <c r="M63" s="225">
        <v>81363.29712128428</v>
      </c>
    </row>
    <row r="64" spans="1:13" ht="21">
      <c r="A64" s="196" t="s">
        <v>476</v>
      </c>
      <c r="B64" s="197" t="s">
        <v>73</v>
      </c>
      <c r="C64" s="198" t="s">
        <v>75</v>
      </c>
      <c r="D64" s="203">
        <v>73</v>
      </c>
      <c r="E64" s="203">
        <v>70.17</v>
      </c>
      <c r="F64" s="203">
        <v>3942804.91016268</v>
      </c>
      <c r="G64" s="203">
        <v>3113702.5658093425</v>
      </c>
      <c r="H64" s="203">
        <v>117435.00654171611</v>
      </c>
      <c r="I64" s="203">
        <v>7173942.482513739</v>
      </c>
      <c r="J64" s="203">
        <v>54011.02616661205</v>
      </c>
      <c r="K64" s="203">
        <v>42653.45980560743</v>
      </c>
      <c r="L64" s="203">
        <v>1608.6987197495357</v>
      </c>
      <c r="M64" s="203">
        <v>98273.18469196901</v>
      </c>
    </row>
    <row r="65" spans="1:13" s="199" customFormat="1" ht="21">
      <c r="A65" s="196" t="s">
        <v>476</v>
      </c>
      <c r="B65" s="196" t="s">
        <v>73</v>
      </c>
      <c r="C65" s="224" t="s">
        <v>458</v>
      </c>
      <c r="D65" s="225">
        <v>5</v>
      </c>
      <c r="E65" s="225">
        <v>2.64</v>
      </c>
      <c r="F65" s="225">
        <v>148339.81705614188</v>
      </c>
      <c r="G65" s="225">
        <v>117146.56938487479</v>
      </c>
      <c r="H65" s="225">
        <v>4418.247360269781</v>
      </c>
      <c r="I65" s="225">
        <v>269904.63380128646</v>
      </c>
      <c r="J65" s="225">
        <v>29667.963411228375</v>
      </c>
      <c r="K65" s="225">
        <v>23429.313876974957</v>
      </c>
      <c r="L65" s="225">
        <v>883.6494720539562</v>
      </c>
      <c r="M65" s="225">
        <v>53980.92676025729</v>
      </c>
    </row>
    <row r="66" spans="1:13" ht="21">
      <c r="A66" s="196" t="s">
        <v>476</v>
      </c>
      <c r="B66" s="197" t="s">
        <v>73</v>
      </c>
      <c r="C66" s="198" t="s">
        <v>214</v>
      </c>
      <c r="D66" s="203">
        <v>25</v>
      </c>
      <c r="E66" s="203">
        <v>21.22</v>
      </c>
      <c r="F66" s="203">
        <v>1192337.4689133826</v>
      </c>
      <c r="G66" s="203">
        <v>941609.9251314556</v>
      </c>
      <c r="H66" s="203">
        <v>35513.336736713914</v>
      </c>
      <c r="I66" s="203">
        <v>2169460.7307815524</v>
      </c>
      <c r="J66" s="203">
        <v>47693.49875653531</v>
      </c>
      <c r="K66" s="203">
        <v>37664.39700525822</v>
      </c>
      <c r="L66" s="203">
        <v>1420.5334694685566</v>
      </c>
      <c r="M66" s="203">
        <v>86778.4292312621</v>
      </c>
    </row>
    <row r="67" spans="1:13" s="199" customFormat="1" ht="21">
      <c r="A67" s="196" t="s">
        <v>476</v>
      </c>
      <c r="B67" s="196" t="s">
        <v>73</v>
      </c>
      <c r="C67" s="224" t="s">
        <v>456</v>
      </c>
      <c r="D67" s="225">
        <v>6</v>
      </c>
      <c r="E67" s="225">
        <v>3.33</v>
      </c>
      <c r="F67" s="225">
        <v>187110.4510594517</v>
      </c>
      <c r="G67" s="225">
        <v>147764.4227468307</v>
      </c>
      <c r="H67" s="225">
        <v>5573.0165567039285</v>
      </c>
      <c r="I67" s="225">
        <v>340447.89036298636</v>
      </c>
      <c r="J67" s="225">
        <v>31185.075176575283</v>
      </c>
      <c r="K67" s="225">
        <v>24627.40379113845</v>
      </c>
      <c r="L67" s="225">
        <v>928.8360927839881</v>
      </c>
      <c r="M67" s="225">
        <v>56741.31506049772</v>
      </c>
    </row>
    <row r="68" spans="1:13" s="199" customFormat="1" ht="21">
      <c r="A68" s="196" t="s">
        <v>476</v>
      </c>
      <c r="B68" s="196" t="s">
        <v>73</v>
      </c>
      <c r="C68" s="224" t="s">
        <v>457</v>
      </c>
      <c r="D68" s="225">
        <v>21</v>
      </c>
      <c r="E68" s="225">
        <v>11.83</v>
      </c>
      <c r="F68" s="225">
        <v>664719.7105205145</v>
      </c>
      <c r="G68" s="225">
        <v>524940.877205708</v>
      </c>
      <c r="H68" s="225">
        <v>19798.434193936177</v>
      </c>
      <c r="I68" s="225">
        <v>1209459.0219201585</v>
      </c>
      <c r="J68" s="225">
        <v>31653.31954859593</v>
      </c>
      <c r="K68" s="225">
        <v>24997.184628843235</v>
      </c>
      <c r="L68" s="225">
        <v>942.7825806636274</v>
      </c>
      <c r="M68" s="225">
        <v>57593.28675810279</v>
      </c>
    </row>
    <row r="69" spans="1:13" ht="21">
      <c r="A69" s="196" t="s">
        <v>476</v>
      </c>
      <c r="B69" s="197" t="s">
        <v>73</v>
      </c>
      <c r="C69" s="198" t="s">
        <v>255</v>
      </c>
      <c r="D69" s="203">
        <v>74</v>
      </c>
      <c r="E69" s="203">
        <v>61.33</v>
      </c>
      <c r="F69" s="203">
        <v>3446091.2803231752</v>
      </c>
      <c r="G69" s="203">
        <v>2721439.05317211</v>
      </c>
      <c r="H69" s="203">
        <v>102640.57219899456</v>
      </c>
      <c r="I69" s="203">
        <v>6270170.90569428</v>
      </c>
      <c r="J69" s="203">
        <v>46568.801085448315</v>
      </c>
      <c r="K69" s="203">
        <v>36776.20342124473</v>
      </c>
      <c r="L69" s="203">
        <v>1387.0347594458724</v>
      </c>
      <c r="M69" s="203">
        <v>84732.03926613892</v>
      </c>
    </row>
    <row r="70" spans="1:13" ht="21">
      <c r="A70" s="196" t="s">
        <v>476</v>
      </c>
      <c r="B70" s="197" t="s">
        <v>73</v>
      </c>
      <c r="C70" s="198" t="s">
        <v>133</v>
      </c>
      <c r="D70" s="203">
        <v>66</v>
      </c>
      <c r="E70" s="203">
        <v>60.36</v>
      </c>
      <c r="F70" s="203">
        <v>3391587.635419972</v>
      </c>
      <c r="G70" s="203">
        <v>2678396.5636632736</v>
      </c>
      <c r="H70" s="203">
        <v>101017.20100980454</v>
      </c>
      <c r="I70" s="203">
        <v>6171001.40009305</v>
      </c>
      <c r="J70" s="203">
        <v>51387.69144575715</v>
      </c>
      <c r="K70" s="203">
        <v>40581.76611611021</v>
      </c>
      <c r="L70" s="203">
        <v>1530.5636516637053</v>
      </c>
      <c r="M70" s="203">
        <v>93500.02121353106</v>
      </c>
    </row>
    <row r="71" spans="1:13" s="199" customFormat="1" ht="21">
      <c r="A71" s="196" t="s">
        <v>476</v>
      </c>
      <c r="B71" s="196" t="s">
        <v>73</v>
      </c>
      <c r="C71" s="224" t="s">
        <v>178</v>
      </c>
      <c r="D71" s="225">
        <v>27</v>
      </c>
      <c r="E71" s="225">
        <v>15.78</v>
      </c>
      <c r="F71" s="225">
        <v>886667.5428583026</v>
      </c>
      <c r="G71" s="225">
        <v>700216.9942777742</v>
      </c>
      <c r="H71" s="225">
        <v>26409.06944888528</v>
      </c>
      <c r="I71" s="225">
        <v>1613293.6065849622</v>
      </c>
      <c r="J71" s="225">
        <v>32839.53862438158</v>
      </c>
      <c r="K71" s="225">
        <v>25933.962751028677</v>
      </c>
      <c r="L71" s="225">
        <v>978.1136832920473</v>
      </c>
      <c r="M71" s="225">
        <v>59751.6150587023</v>
      </c>
    </row>
    <row r="72" spans="1:13" ht="21">
      <c r="A72" s="196" t="s">
        <v>476</v>
      </c>
      <c r="B72" s="197" t="s">
        <v>76</v>
      </c>
      <c r="C72" s="198" t="s">
        <v>77</v>
      </c>
      <c r="D72" s="203">
        <v>1</v>
      </c>
      <c r="E72" s="203">
        <v>0.31</v>
      </c>
      <c r="F72" s="203">
        <v>31566.70669007673</v>
      </c>
      <c r="G72" s="203">
        <v>15602.651774520185</v>
      </c>
      <c r="H72" s="203">
        <v>409.8936424948442</v>
      </c>
      <c r="I72" s="203">
        <v>47579.25210709176</v>
      </c>
      <c r="J72" s="203">
        <v>31566.70669007673</v>
      </c>
      <c r="K72" s="203">
        <v>15602.651774520185</v>
      </c>
      <c r="L72" s="203">
        <v>409.8936424948442</v>
      </c>
      <c r="M72" s="203">
        <v>47579.25210709176</v>
      </c>
    </row>
    <row r="73" spans="1:13" ht="21">
      <c r="A73" s="196" t="s">
        <v>476</v>
      </c>
      <c r="B73" s="197" t="s">
        <v>76</v>
      </c>
      <c r="C73" s="198" t="s">
        <v>78</v>
      </c>
      <c r="D73" s="203">
        <v>9</v>
      </c>
      <c r="E73" s="203">
        <v>7.69</v>
      </c>
      <c r="F73" s="203">
        <v>783057.9820860971</v>
      </c>
      <c r="G73" s="203">
        <v>387046.4262776137</v>
      </c>
      <c r="H73" s="203">
        <v>10168.006808985008</v>
      </c>
      <c r="I73" s="203">
        <v>1180272.4151726959</v>
      </c>
      <c r="J73" s="203">
        <v>87006.44245401079</v>
      </c>
      <c r="K73" s="203">
        <v>43005.15847529041</v>
      </c>
      <c r="L73" s="203">
        <v>1129.7785343316675</v>
      </c>
      <c r="M73" s="203">
        <v>131141.37946363288</v>
      </c>
    </row>
    <row r="74" spans="1:13" s="199" customFormat="1" ht="21">
      <c r="A74" s="196" t="s">
        <v>476</v>
      </c>
      <c r="B74" s="196" t="s">
        <v>76</v>
      </c>
      <c r="C74" s="224" t="s">
        <v>79</v>
      </c>
      <c r="D74" s="225">
        <v>9</v>
      </c>
      <c r="E74" s="225">
        <v>6.03</v>
      </c>
      <c r="F74" s="225">
        <v>614023.3591650409</v>
      </c>
      <c r="G74" s="225">
        <v>303496.7425817959</v>
      </c>
      <c r="H74" s="225">
        <v>7973.092465302939</v>
      </c>
      <c r="I74" s="225">
        <v>925493.1942121397</v>
      </c>
      <c r="J74" s="225">
        <v>68224.81768500454</v>
      </c>
      <c r="K74" s="225">
        <v>33721.86028686621</v>
      </c>
      <c r="L74" s="225">
        <v>885.8991628114377</v>
      </c>
      <c r="M74" s="225">
        <v>102832.57713468219</v>
      </c>
    </row>
    <row r="75" spans="1:13" s="199" customFormat="1" ht="21">
      <c r="A75" s="196" t="s">
        <v>476</v>
      </c>
      <c r="B75" s="196" t="s">
        <v>76</v>
      </c>
      <c r="C75" s="224" t="s">
        <v>80</v>
      </c>
      <c r="D75" s="225">
        <v>233</v>
      </c>
      <c r="E75" s="225">
        <v>219.7</v>
      </c>
      <c r="F75" s="225">
        <v>22371630.51551567</v>
      </c>
      <c r="G75" s="225">
        <v>11057750.306006724</v>
      </c>
      <c r="H75" s="225">
        <v>290495.59114876535</v>
      </c>
      <c r="I75" s="225">
        <v>33719876.412671156</v>
      </c>
      <c r="J75" s="225">
        <v>96015.58161165523</v>
      </c>
      <c r="K75" s="225">
        <v>47458.155819771346</v>
      </c>
      <c r="L75" s="225">
        <v>1246.762193771525</v>
      </c>
      <c r="M75" s="225">
        <v>144720.4996251981</v>
      </c>
    </row>
    <row r="76" spans="1:13" s="199" customFormat="1" ht="21">
      <c r="A76" s="196" t="s">
        <v>476</v>
      </c>
      <c r="B76" s="196" t="s">
        <v>76</v>
      </c>
      <c r="C76" s="224" t="s">
        <v>172</v>
      </c>
      <c r="D76" s="225">
        <v>15</v>
      </c>
      <c r="E76" s="225">
        <v>12.53</v>
      </c>
      <c r="F76" s="225">
        <v>1275905.918795682</v>
      </c>
      <c r="G76" s="225">
        <v>630649.1184991546</v>
      </c>
      <c r="H76" s="225">
        <v>16567.636582130315</v>
      </c>
      <c r="I76" s="225">
        <v>1923122.673876967</v>
      </c>
      <c r="J76" s="225">
        <v>85060.3945863788</v>
      </c>
      <c r="K76" s="225">
        <v>42043.27456661031</v>
      </c>
      <c r="L76" s="225">
        <v>1104.5091054753543</v>
      </c>
      <c r="M76" s="225">
        <v>128208.17825846447</v>
      </c>
    </row>
    <row r="77" spans="1:13" s="199" customFormat="1" ht="21">
      <c r="A77" s="196" t="s">
        <v>476</v>
      </c>
      <c r="B77" s="196" t="s">
        <v>85</v>
      </c>
      <c r="C77" s="224" t="s">
        <v>178</v>
      </c>
      <c r="D77" s="225">
        <v>92</v>
      </c>
      <c r="E77" s="225">
        <v>70.97</v>
      </c>
      <c r="F77" s="225">
        <v>8054916.5374124</v>
      </c>
      <c r="G77" s="225">
        <v>3040484.033580785</v>
      </c>
      <c r="H77" s="225">
        <v>139661.45267563316</v>
      </c>
      <c r="I77" s="225">
        <v>11235062.023668818</v>
      </c>
      <c r="J77" s="225">
        <v>87553.44062404783</v>
      </c>
      <c r="K77" s="225">
        <v>33048.73949544332</v>
      </c>
      <c r="L77" s="225">
        <v>1518.059268213404</v>
      </c>
      <c r="M77" s="225">
        <v>122120.23938770455</v>
      </c>
    </row>
    <row r="78" spans="1:13" s="199" customFormat="1" ht="21">
      <c r="A78" s="196" t="s">
        <v>476</v>
      </c>
      <c r="B78" s="196" t="s">
        <v>85</v>
      </c>
      <c r="C78" s="224" t="s">
        <v>179</v>
      </c>
      <c r="D78" s="225">
        <v>49</v>
      </c>
      <c r="E78" s="225">
        <v>40.5</v>
      </c>
      <c r="F78" s="225">
        <v>4596648.157886462</v>
      </c>
      <c r="G78" s="225">
        <v>1735093.7489082967</v>
      </c>
      <c r="H78" s="225">
        <v>79699.71584279474</v>
      </c>
      <c r="I78" s="225">
        <v>6411441.622637553</v>
      </c>
      <c r="J78" s="225">
        <v>93809.14607931556</v>
      </c>
      <c r="K78" s="225">
        <v>35410.07650833258</v>
      </c>
      <c r="L78" s="225">
        <v>1626.52481311826</v>
      </c>
      <c r="M78" s="225">
        <v>130845.7474007664</v>
      </c>
    </row>
    <row r="79" spans="1:13" s="199" customFormat="1" ht="21">
      <c r="A79" s="196" t="s">
        <v>476</v>
      </c>
      <c r="B79" s="196" t="s">
        <v>85</v>
      </c>
      <c r="C79" s="224" t="s">
        <v>511</v>
      </c>
      <c r="D79" s="225">
        <v>50</v>
      </c>
      <c r="E79" s="225">
        <v>44.39</v>
      </c>
      <c r="F79" s="225">
        <v>5038153.376014322</v>
      </c>
      <c r="G79" s="225">
        <v>1901748.4324454146</v>
      </c>
      <c r="H79" s="225">
        <v>87354.82435213971</v>
      </c>
      <c r="I79" s="225">
        <v>7027256.632811876</v>
      </c>
      <c r="J79" s="225">
        <v>100763.06752028644</v>
      </c>
      <c r="K79" s="225">
        <v>38034.96864890829</v>
      </c>
      <c r="L79" s="225">
        <v>1747.0964870427943</v>
      </c>
      <c r="M79" s="225">
        <v>140545.13265623752</v>
      </c>
    </row>
    <row r="80" spans="1:13" s="199" customFormat="1" ht="21">
      <c r="A80" s="196" t="s">
        <v>476</v>
      </c>
      <c r="B80" s="196" t="s">
        <v>85</v>
      </c>
      <c r="C80" s="224" t="s">
        <v>173</v>
      </c>
      <c r="D80" s="225">
        <v>60</v>
      </c>
      <c r="E80" s="225">
        <v>59</v>
      </c>
      <c r="F80" s="225">
        <v>6696351.637414846</v>
      </c>
      <c r="G80" s="225">
        <v>2527667.436681222</v>
      </c>
      <c r="H80" s="225">
        <v>116105.75888209604</v>
      </c>
      <c r="I80" s="225">
        <v>9340124.832978165</v>
      </c>
      <c r="J80" s="225">
        <v>111605.86062358077</v>
      </c>
      <c r="K80" s="225">
        <v>42127.7906113537</v>
      </c>
      <c r="L80" s="225">
        <v>1935.0959813682673</v>
      </c>
      <c r="M80" s="225">
        <v>155668.74721630273</v>
      </c>
    </row>
    <row r="81" spans="1:13" s="199" customFormat="1" ht="21">
      <c r="A81" s="196" t="s">
        <v>476</v>
      </c>
      <c r="B81" s="196" t="s">
        <v>85</v>
      </c>
      <c r="C81" s="224" t="s">
        <v>198</v>
      </c>
      <c r="D81" s="225">
        <v>65</v>
      </c>
      <c r="E81" s="225">
        <v>62.22</v>
      </c>
      <c r="F81" s="225">
        <v>7061813.540338165</v>
      </c>
      <c r="G81" s="225">
        <v>2665618.100174672</v>
      </c>
      <c r="H81" s="225">
        <v>122442.3782651528</v>
      </c>
      <c r="I81" s="225">
        <v>9849874.01877799</v>
      </c>
      <c r="J81" s="225">
        <v>108643.28523597177</v>
      </c>
      <c r="K81" s="225">
        <v>41009.50923345649</v>
      </c>
      <c r="L81" s="225">
        <v>1883.7288963869662</v>
      </c>
      <c r="M81" s="225">
        <v>151536.52336581523</v>
      </c>
    </row>
    <row r="82" spans="1:13" s="199" customFormat="1" ht="21">
      <c r="A82" s="196" t="s">
        <v>476</v>
      </c>
      <c r="B82" s="196" t="s">
        <v>85</v>
      </c>
      <c r="C82" s="224" t="s">
        <v>174</v>
      </c>
      <c r="D82" s="225">
        <v>2</v>
      </c>
      <c r="E82" s="225">
        <v>0.11</v>
      </c>
      <c r="F82" s="225">
        <v>12484.72339179039</v>
      </c>
      <c r="G82" s="225">
        <v>4712.600305676855</v>
      </c>
      <c r="H82" s="225">
        <v>216.4683640174672</v>
      </c>
      <c r="I82" s="225">
        <v>17413.792061484713</v>
      </c>
      <c r="J82" s="225">
        <v>6242.361695895195</v>
      </c>
      <c r="K82" s="225">
        <v>2356.3001528384275</v>
      </c>
      <c r="L82" s="225">
        <v>108.2341820087336</v>
      </c>
      <c r="M82" s="225">
        <v>8706.896030742357</v>
      </c>
    </row>
    <row r="83" spans="1:13" s="248" customFormat="1" ht="21">
      <c r="A83" s="246" t="s">
        <v>476</v>
      </c>
      <c r="B83" s="246" t="s">
        <v>85</v>
      </c>
      <c r="C83" s="247" t="s">
        <v>175</v>
      </c>
      <c r="D83" s="223">
        <v>1</v>
      </c>
      <c r="E83" s="223">
        <v>0.17</v>
      </c>
      <c r="F83" s="223">
        <v>19294.57251458515</v>
      </c>
      <c r="G83" s="223">
        <v>7283.109563318776</v>
      </c>
      <c r="H83" s="223">
        <v>334.54201711790387</v>
      </c>
      <c r="I83" s="223">
        <v>26912.22409502183</v>
      </c>
      <c r="J83" s="223">
        <v>19294.57251458515</v>
      </c>
      <c r="K83" s="223">
        <v>7283.109563318776</v>
      </c>
      <c r="L83" s="223">
        <v>334.54201711790387</v>
      </c>
      <c r="M83" s="223">
        <v>26912.22409502183</v>
      </c>
    </row>
    <row r="84" spans="1:13" s="248" customFormat="1" ht="21">
      <c r="A84" s="246" t="s">
        <v>476</v>
      </c>
      <c r="B84" s="246" t="s">
        <v>85</v>
      </c>
      <c r="C84" s="247" t="s">
        <v>176</v>
      </c>
      <c r="D84" s="223">
        <v>9</v>
      </c>
      <c r="E84" s="223">
        <v>8.89</v>
      </c>
      <c r="F84" s="223">
        <v>1008992.6450274234</v>
      </c>
      <c r="G84" s="223">
        <v>380863.7883406113</v>
      </c>
      <c r="H84" s="223">
        <v>17494.57960104803</v>
      </c>
      <c r="I84" s="223">
        <v>1407351.0129690827</v>
      </c>
      <c r="J84" s="223">
        <v>112110.29389193593</v>
      </c>
      <c r="K84" s="223">
        <v>42318.19870451237</v>
      </c>
      <c r="L84" s="223">
        <v>1943.8421778942256</v>
      </c>
      <c r="M84" s="223">
        <v>156372.3347743425</v>
      </c>
    </row>
    <row r="85" spans="1:13" s="248" customFormat="1" ht="21">
      <c r="A85" s="246" t="s">
        <v>476</v>
      </c>
      <c r="B85" s="246" t="s">
        <v>69</v>
      </c>
      <c r="C85" s="247" t="s">
        <v>528</v>
      </c>
      <c r="D85" s="223">
        <v>20</v>
      </c>
      <c r="E85" s="223">
        <v>15.72</v>
      </c>
      <c r="F85" s="223">
        <v>1368947.7788402562</v>
      </c>
      <c r="G85" s="223">
        <v>966509.4154889814</v>
      </c>
      <c r="H85" s="223">
        <v>33893.1836660912</v>
      </c>
      <c r="I85" s="223">
        <v>2369350.377995329</v>
      </c>
      <c r="J85" s="223">
        <v>68447.38894201281</v>
      </c>
      <c r="K85" s="223">
        <v>48325.47077444907</v>
      </c>
      <c r="L85" s="223">
        <v>1694.65918330456</v>
      </c>
      <c r="M85" s="223">
        <v>118467.51889976644</v>
      </c>
    </row>
    <row r="86" spans="1:13" s="248" customFormat="1" ht="21">
      <c r="A86" s="246" t="s">
        <v>521</v>
      </c>
      <c r="B86" s="246" t="s">
        <v>69</v>
      </c>
      <c r="C86" s="252" t="s">
        <v>522</v>
      </c>
      <c r="D86" s="223">
        <v>13</v>
      </c>
      <c r="E86" s="223">
        <v>9.33</v>
      </c>
      <c r="F86" s="223">
        <v>812486.1817162588</v>
      </c>
      <c r="G86" s="223">
        <v>573634.4049944145</v>
      </c>
      <c r="H86" s="223">
        <v>20115.992595714433</v>
      </c>
      <c r="I86" s="223">
        <v>1406236.5793063878</v>
      </c>
      <c r="J86" s="223">
        <v>62498.93705509683</v>
      </c>
      <c r="K86" s="223">
        <v>44125.72346110881</v>
      </c>
      <c r="L86" s="223">
        <v>1547.384045824187</v>
      </c>
      <c r="M86" s="223">
        <v>108172.04456202984</v>
      </c>
    </row>
    <row r="87" spans="1:13" s="248" customFormat="1" ht="21">
      <c r="A87" s="246" t="s">
        <v>521</v>
      </c>
      <c r="B87" s="246" t="s">
        <v>69</v>
      </c>
      <c r="C87" s="252" t="s">
        <v>523</v>
      </c>
      <c r="D87" s="223">
        <v>91</v>
      </c>
      <c r="E87" s="223">
        <v>73.42</v>
      </c>
      <c r="F87" s="223">
        <v>6393647.959443486</v>
      </c>
      <c r="G87" s="223">
        <v>4514066.239516604</v>
      </c>
      <c r="H87" s="223">
        <v>158297.5537381944</v>
      </c>
      <c r="I87" s="223">
        <v>11066011.752698284</v>
      </c>
      <c r="J87" s="223">
        <v>70259.86768619216</v>
      </c>
      <c r="K87" s="223">
        <v>49605.12351117147</v>
      </c>
      <c r="L87" s="223">
        <v>1739.5335575625759</v>
      </c>
      <c r="M87" s="223">
        <v>121604.5247549262</v>
      </c>
    </row>
    <row r="88" spans="1:13" s="248" customFormat="1" ht="21">
      <c r="A88" s="246" t="s">
        <v>476</v>
      </c>
      <c r="B88" s="246" t="s">
        <v>196</v>
      </c>
      <c r="C88" s="247" t="s">
        <v>134</v>
      </c>
      <c r="D88" s="223">
        <v>121</v>
      </c>
      <c r="E88" s="223">
        <v>107.31</v>
      </c>
      <c r="F88" s="223">
        <v>5400696.208571838</v>
      </c>
      <c r="G88" s="223">
        <v>2343301.771042637</v>
      </c>
      <c r="H88" s="223">
        <v>175061.60640045043</v>
      </c>
      <c r="I88" s="223">
        <v>7919059.586014926</v>
      </c>
      <c r="J88" s="223">
        <v>44633.852963403624</v>
      </c>
      <c r="K88" s="223">
        <v>19366.130339195348</v>
      </c>
      <c r="L88" s="223">
        <v>1446.7901355409126</v>
      </c>
      <c r="M88" s="223">
        <v>65446.773438139884</v>
      </c>
    </row>
    <row r="89" spans="1:13" s="248" customFormat="1" ht="21.75" customHeight="1">
      <c r="A89" s="249"/>
      <c r="B89" s="249"/>
      <c r="C89" s="250" t="s">
        <v>155</v>
      </c>
      <c r="D89" s="251">
        <f aca="true" t="shared" si="7" ref="D89:I89">SUM(D62:D88)</f>
        <v>1621</v>
      </c>
      <c r="E89" s="251">
        <f t="shared" si="7"/>
        <v>1378.8100000000002</v>
      </c>
      <c r="F89" s="251">
        <f t="shared" si="7"/>
        <v>107531004.02082439</v>
      </c>
      <c r="G89" s="251">
        <f t="shared" si="7"/>
        <v>61477770.986182444</v>
      </c>
      <c r="H89" s="251">
        <f t="shared" si="7"/>
        <v>2348252.807048129</v>
      </c>
      <c r="I89" s="251">
        <f t="shared" si="7"/>
        <v>171357027.814055</v>
      </c>
      <c r="J89" s="251">
        <f>+F89/D89</f>
        <v>66336.2146951415</v>
      </c>
      <c r="K89" s="251">
        <f>+G89/D89</f>
        <v>37925.8303431107</v>
      </c>
      <c r="L89" s="251">
        <f>+H89/D89</f>
        <v>1448.644544755169</v>
      </c>
      <c r="M89" s="251">
        <f>SUM(J89:L89)</f>
        <v>105710.68958300736</v>
      </c>
    </row>
    <row r="90" spans="1:13" s="248" customFormat="1" ht="21">
      <c r="A90" s="249"/>
      <c r="B90" s="249"/>
      <c r="C90" s="250" t="s">
        <v>153</v>
      </c>
      <c r="D90" s="323"/>
      <c r="E90" s="324"/>
      <c r="F90" s="324"/>
      <c r="G90" s="324"/>
      <c r="H90" s="324"/>
      <c r="I90" s="325"/>
      <c r="J90" s="251">
        <f>+J89*100/M89</f>
        <v>62.75260804447994</v>
      </c>
      <c r="K90" s="251">
        <f>+K89*100/M89</f>
        <v>35.8770059042422</v>
      </c>
      <c r="L90" s="251">
        <f>+L89*100/M89</f>
        <v>1.3703860512778583</v>
      </c>
      <c r="M90" s="251">
        <f>SUM(J90:L90)</f>
        <v>100.00000000000001</v>
      </c>
    </row>
    <row r="91" spans="1:13" s="199" customFormat="1" ht="21">
      <c r="A91" s="196" t="s">
        <v>479</v>
      </c>
      <c r="B91" s="196" t="s">
        <v>102</v>
      </c>
      <c r="C91" s="224" t="s">
        <v>200</v>
      </c>
      <c r="D91" s="225">
        <v>84</v>
      </c>
      <c r="E91" s="225">
        <v>76.44</v>
      </c>
      <c r="F91" s="225">
        <v>7657545.706860937</v>
      </c>
      <c r="G91" s="225">
        <v>5804820.030629435</v>
      </c>
      <c r="H91" s="225">
        <v>111259.44852321102</v>
      </c>
      <c r="I91" s="225">
        <v>13573625.186013581</v>
      </c>
      <c r="J91" s="225">
        <v>91161.25841501115</v>
      </c>
      <c r="K91" s="225">
        <v>69105.00036463613</v>
      </c>
      <c r="L91" s="225">
        <v>1324.5172443239408</v>
      </c>
      <c r="M91" s="225">
        <v>161590.77602397124</v>
      </c>
    </row>
    <row r="92" spans="1:13" s="199" customFormat="1" ht="21">
      <c r="A92" s="196" t="s">
        <v>479</v>
      </c>
      <c r="B92" s="196" t="s">
        <v>102</v>
      </c>
      <c r="C92" s="224" t="s">
        <v>213</v>
      </c>
      <c r="D92" s="225">
        <v>141</v>
      </c>
      <c r="E92" s="225">
        <v>111.64</v>
      </c>
      <c r="F92" s="225">
        <v>11183783.395002028</v>
      </c>
      <c r="G92" s="225">
        <v>8477892.572206568</v>
      </c>
      <c r="H92" s="225">
        <v>162493.52214980742</v>
      </c>
      <c r="I92" s="225">
        <v>19824169.489358403</v>
      </c>
      <c r="J92" s="225">
        <v>79317.61273051084</v>
      </c>
      <c r="K92" s="225">
        <v>60126.89767522389</v>
      </c>
      <c r="L92" s="225">
        <v>1152.4363273035988</v>
      </c>
      <c r="M92" s="225">
        <v>140596.94673303832</v>
      </c>
    </row>
    <row r="93" spans="1:13" s="199" customFormat="1" ht="21">
      <c r="A93" s="196" t="s">
        <v>479</v>
      </c>
      <c r="B93" s="196" t="s">
        <v>196</v>
      </c>
      <c r="C93" s="224" t="s">
        <v>211</v>
      </c>
      <c r="D93" s="225">
        <v>65</v>
      </c>
      <c r="E93" s="225">
        <v>57.97</v>
      </c>
      <c r="F93" s="225">
        <v>2917513.3651189026</v>
      </c>
      <c r="G93" s="225">
        <v>1265876.4669400956</v>
      </c>
      <c r="H93" s="225">
        <v>94570.13626907195</v>
      </c>
      <c r="I93" s="225">
        <v>4277959.96832807</v>
      </c>
      <c r="J93" s="225">
        <v>44884.821001829274</v>
      </c>
      <c r="K93" s="225">
        <v>19475.022568309163</v>
      </c>
      <c r="L93" s="225">
        <v>1454.9251733703377</v>
      </c>
      <c r="M93" s="225">
        <v>65814.76874350877</v>
      </c>
    </row>
    <row r="94" spans="1:13" s="199" customFormat="1" ht="21">
      <c r="A94" s="196" t="s">
        <v>479</v>
      </c>
      <c r="B94" s="196" t="s">
        <v>196</v>
      </c>
      <c r="C94" s="224" t="s">
        <v>199</v>
      </c>
      <c r="D94" s="225">
        <v>17</v>
      </c>
      <c r="E94" s="225">
        <v>17.83</v>
      </c>
      <c r="F94" s="225">
        <v>897347.9955161297</v>
      </c>
      <c r="G94" s="225">
        <v>389349.2738578904</v>
      </c>
      <c r="H94" s="225">
        <v>29087.209413102515</v>
      </c>
      <c r="I94" s="225">
        <v>1315784.4787871225</v>
      </c>
      <c r="J94" s="225">
        <v>52785.17620683116</v>
      </c>
      <c r="K94" s="225">
        <v>22902.898462228848</v>
      </c>
      <c r="L94" s="225">
        <v>1711.012318417795</v>
      </c>
      <c r="M94" s="225">
        <v>77399.0869874778</v>
      </c>
    </row>
    <row r="95" spans="1:13" s="199" customFormat="1" ht="21">
      <c r="A95" s="196" t="s">
        <v>479</v>
      </c>
      <c r="B95" s="196" t="s">
        <v>196</v>
      </c>
      <c r="C95" s="224" t="s">
        <v>200</v>
      </c>
      <c r="D95" s="225">
        <v>228</v>
      </c>
      <c r="E95" s="225">
        <v>210.06</v>
      </c>
      <c r="F95" s="225">
        <v>10571896.799670117</v>
      </c>
      <c r="G95" s="225">
        <v>4587027.956623021</v>
      </c>
      <c r="H95" s="225">
        <v>342684.1956991764</v>
      </c>
      <c r="I95" s="225">
        <v>15501608.951992312</v>
      </c>
      <c r="J95" s="225">
        <v>46367.96841960578</v>
      </c>
      <c r="K95" s="225">
        <v>20118.543669399212</v>
      </c>
      <c r="L95" s="225">
        <v>1503.000858329721</v>
      </c>
      <c r="M95" s="225">
        <v>67989.5129473347</v>
      </c>
    </row>
    <row r="96" spans="1:13" s="199" customFormat="1" ht="21">
      <c r="A96" s="196" t="s">
        <v>479</v>
      </c>
      <c r="B96" s="196" t="s">
        <v>196</v>
      </c>
      <c r="C96" s="224" t="s">
        <v>249</v>
      </c>
      <c r="D96" s="225">
        <v>70</v>
      </c>
      <c r="E96" s="225">
        <v>59.72</v>
      </c>
      <c r="F96" s="225">
        <v>3005587.3411230096</v>
      </c>
      <c r="G96" s="225">
        <v>1304090.7815363551</v>
      </c>
      <c r="H96" s="225">
        <v>97425.02221819866</v>
      </c>
      <c r="I96" s="225">
        <v>4407103.144877563</v>
      </c>
      <c r="J96" s="225">
        <v>42936.96201604299</v>
      </c>
      <c r="K96" s="225">
        <v>18629.868307662215</v>
      </c>
      <c r="L96" s="225">
        <v>1391.7860316885524</v>
      </c>
      <c r="M96" s="225">
        <v>62958.61635539375</v>
      </c>
    </row>
    <row r="97" spans="1:13" ht="21">
      <c r="A97" s="196" t="s">
        <v>103</v>
      </c>
      <c r="B97" s="197" t="s">
        <v>91</v>
      </c>
      <c r="C97" s="198" t="s">
        <v>90</v>
      </c>
      <c r="D97" s="203">
        <v>317</v>
      </c>
      <c r="E97" s="203">
        <v>249.56</v>
      </c>
      <c r="F97" s="203">
        <v>10174457.117600715</v>
      </c>
      <c r="G97" s="203">
        <v>9791739.732388442</v>
      </c>
      <c r="H97" s="203">
        <v>433922.19690570113</v>
      </c>
      <c r="I97" s="203">
        <v>20400119.04689486</v>
      </c>
      <c r="J97" s="203">
        <v>32096.079235333484</v>
      </c>
      <c r="K97" s="203">
        <v>30888.76887188783</v>
      </c>
      <c r="L97" s="203">
        <v>1368.8397378728741</v>
      </c>
      <c r="M97" s="203">
        <v>64353.687845094195</v>
      </c>
    </row>
    <row r="98" spans="1:13" s="199" customFormat="1" ht="21">
      <c r="A98" s="196" t="s">
        <v>103</v>
      </c>
      <c r="B98" s="196" t="s">
        <v>91</v>
      </c>
      <c r="C98" s="224" t="s">
        <v>92</v>
      </c>
      <c r="D98" s="225">
        <v>224</v>
      </c>
      <c r="E98" s="225">
        <v>159.3</v>
      </c>
      <c r="F98" s="225">
        <v>6494594.56176388</v>
      </c>
      <c r="G98" s="225">
        <v>6250297.0803393135</v>
      </c>
      <c r="H98" s="225">
        <v>276982.71344397415</v>
      </c>
      <c r="I98" s="225">
        <v>13021874.355547167</v>
      </c>
      <c r="J98" s="225">
        <v>28993.72572216018</v>
      </c>
      <c r="K98" s="225">
        <v>27903.11196580051</v>
      </c>
      <c r="L98" s="225">
        <v>1236.5299707320276</v>
      </c>
      <c r="M98" s="225">
        <v>58133.36765869272</v>
      </c>
    </row>
    <row r="99" spans="1:13" s="199" customFormat="1" ht="21">
      <c r="A99" s="196" t="s">
        <v>103</v>
      </c>
      <c r="B99" s="196" t="s">
        <v>91</v>
      </c>
      <c r="C99" s="224" t="s">
        <v>93</v>
      </c>
      <c r="D99" s="225">
        <v>207</v>
      </c>
      <c r="E99" s="225">
        <v>144.94</v>
      </c>
      <c r="F99" s="225">
        <v>5909143.350797594</v>
      </c>
      <c r="G99" s="225">
        <v>5686867.9147795355</v>
      </c>
      <c r="H99" s="225">
        <v>252014.27800734216</v>
      </c>
      <c r="I99" s="225">
        <v>11848025.543584472</v>
      </c>
      <c r="J99" s="225">
        <v>28546.586235737166</v>
      </c>
      <c r="K99" s="225">
        <v>27472.791858838336</v>
      </c>
      <c r="L99" s="225">
        <v>1217.460280228706</v>
      </c>
      <c r="M99" s="225">
        <v>57236.8383748042</v>
      </c>
    </row>
    <row r="100" spans="1:13" s="199" customFormat="1" ht="21">
      <c r="A100" s="196" t="s">
        <v>103</v>
      </c>
      <c r="B100" s="196" t="s">
        <v>91</v>
      </c>
      <c r="C100" s="224" t="s">
        <v>94</v>
      </c>
      <c r="D100" s="225">
        <v>298</v>
      </c>
      <c r="E100" s="225">
        <v>229.86</v>
      </c>
      <c r="F100" s="225">
        <v>9371296.333754208</v>
      </c>
      <c r="G100" s="225">
        <v>9018790.250387913</v>
      </c>
      <c r="H100" s="225">
        <v>399668.8418846949</v>
      </c>
      <c r="I100" s="225">
        <v>18789755.426026814</v>
      </c>
      <c r="J100" s="225">
        <v>31447.303133403384</v>
      </c>
      <c r="K100" s="225">
        <v>30264.396813382256</v>
      </c>
      <c r="L100" s="225">
        <v>1341.1706103513252</v>
      </c>
      <c r="M100" s="225">
        <v>63052.870557136965</v>
      </c>
    </row>
    <row r="101" spans="1:13" s="199" customFormat="1" ht="21">
      <c r="A101" s="196" t="s">
        <v>103</v>
      </c>
      <c r="B101" s="196" t="s">
        <v>91</v>
      </c>
      <c r="C101" s="224" t="s">
        <v>201</v>
      </c>
      <c r="D101" s="225">
        <v>110</v>
      </c>
      <c r="E101" s="225">
        <v>110.56</v>
      </c>
      <c r="F101" s="225">
        <v>4507485.0894451635</v>
      </c>
      <c r="G101" s="225">
        <v>4337933.742638509</v>
      </c>
      <c r="H101" s="225">
        <v>192236.08787423588</v>
      </c>
      <c r="I101" s="225">
        <v>9037654.919957908</v>
      </c>
      <c r="J101" s="225">
        <v>40977.13717677422</v>
      </c>
      <c r="K101" s="225">
        <v>39435.76129671372</v>
      </c>
      <c r="L101" s="225">
        <v>1747.6007988566898</v>
      </c>
      <c r="M101" s="225">
        <v>82160.49927234462</v>
      </c>
    </row>
    <row r="102" spans="1:13" s="199" customFormat="1" ht="21">
      <c r="A102" s="196" t="s">
        <v>103</v>
      </c>
      <c r="B102" s="196" t="s">
        <v>91</v>
      </c>
      <c r="C102" s="224" t="s">
        <v>95</v>
      </c>
      <c r="D102" s="225">
        <v>380</v>
      </c>
      <c r="E102" s="225">
        <v>312.39</v>
      </c>
      <c r="F102" s="225">
        <v>12736010.013492895</v>
      </c>
      <c r="G102" s="225">
        <v>12256938.511784043</v>
      </c>
      <c r="H102" s="225">
        <v>543167.795685895</v>
      </c>
      <c r="I102" s="225">
        <v>25536116.32096283</v>
      </c>
      <c r="J102" s="225">
        <v>33515.815824981306</v>
      </c>
      <c r="K102" s="225">
        <v>32255.101346800115</v>
      </c>
      <c r="L102" s="225">
        <v>1429.3889360155133</v>
      </c>
      <c r="M102" s="225">
        <v>67200.30610779693</v>
      </c>
    </row>
    <row r="103" spans="1:13" s="199" customFormat="1" ht="21">
      <c r="A103" s="196" t="s">
        <v>103</v>
      </c>
      <c r="B103" s="196" t="s">
        <v>91</v>
      </c>
      <c r="C103" s="224" t="s">
        <v>96</v>
      </c>
      <c r="D103" s="225">
        <v>298</v>
      </c>
      <c r="E103" s="225">
        <v>251.25</v>
      </c>
      <c r="F103" s="225">
        <v>10243357.712763181</v>
      </c>
      <c r="G103" s="225">
        <v>9858048.596580366</v>
      </c>
      <c r="H103" s="225">
        <v>436860.68269176706</v>
      </c>
      <c r="I103" s="225">
        <v>20538266.992035314</v>
      </c>
      <c r="J103" s="225">
        <v>34373.68359987644</v>
      </c>
      <c r="K103" s="225">
        <v>33080.69998852472</v>
      </c>
      <c r="L103" s="225">
        <v>1465.9754452743862</v>
      </c>
      <c r="M103" s="225">
        <v>68920.35903367554</v>
      </c>
    </row>
    <row r="104" spans="1:13" s="199" customFormat="1" ht="21">
      <c r="A104" s="196" t="s">
        <v>103</v>
      </c>
      <c r="B104" s="196" t="s">
        <v>91</v>
      </c>
      <c r="C104" s="224" t="s">
        <v>97</v>
      </c>
      <c r="D104" s="225">
        <v>355</v>
      </c>
      <c r="E104" s="225">
        <v>290.19</v>
      </c>
      <c r="F104" s="225">
        <v>11830925.272305463</v>
      </c>
      <c r="G104" s="225">
        <v>11385898.993996644</v>
      </c>
      <c r="H104" s="225">
        <v>504567.5682002941</v>
      </c>
      <c r="I104" s="225">
        <v>23721391.834502403</v>
      </c>
      <c r="J104" s="225">
        <v>33326.55006283229</v>
      </c>
      <c r="K104" s="225">
        <v>32072.954912666602</v>
      </c>
      <c r="L104" s="225">
        <v>1421.3170935219553</v>
      </c>
      <c r="M104" s="225">
        <v>66820.82206902085</v>
      </c>
    </row>
    <row r="105" spans="1:13" s="199" customFormat="1" ht="21">
      <c r="A105" s="196" t="s">
        <v>103</v>
      </c>
      <c r="B105" s="196" t="s">
        <v>91</v>
      </c>
      <c r="C105" s="224" t="s">
        <v>98</v>
      </c>
      <c r="D105" s="225">
        <v>162</v>
      </c>
      <c r="E105" s="225">
        <v>146.36</v>
      </c>
      <c r="F105" s="225">
        <v>5967036.158567241</v>
      </c>
      <c r="G105" s="225">
        <v>5742583.055106478</v>
      </c>
      <c r="H105" s="225">
        <v>254483.30156723197</v>
      </c>
      <c r="I105" s="225">
        <v>11964102.51524095</v>
      </c>
      <c r="J105" s="225">
        <v>36833.556534365685</v>
      </c>
      <c r="K105" s="225">
        <v>35448.04355003998</v>
      </c>
      <c r="L105" s="225">
        <v>1570.884577575506</v>
      </c>
      <c r="M105" s="225">
        <v>73852.48466198117</v>
      </c>
    </row>
    <row r="106" spans="1:13" s="199" customFormat="1" ht="21">
      <c r="A106" s="196" t="s">
        <v>103</v>
      </c>
      <c r="B106" s="196" t="s">
        <v>91</v>
      </c>
      <c r="C106" s="224" t="s">
        <v>99</v>
      </c>
      <c r="D106" s="225">
        <v>44</v>
      </c>
      <c r="E106" s="225">
        <v>30.33</v>
      </c>
      <c r="F106" s="225">
        <v>1236541.4504601285</v>
      </c>
      <c r="G106" s="225">
        <v>1190028.3141662986</v>
      </c>
      <c r="H106" s="225">
        <v>52736.256740462864</v>
      </c>
      <c r="I106" s="225">
        <v>2479306.02136689</v>
      </c>
      <c r="J106" s="225">
        <v>28103.21478318474</v>
      </c>
      <c r="K106" s="225">
        <v>27046.09804923406</v>
      </c>
      <c r="L106" s="225">
        <v>1198.551289555974</v>
      </c>
      <c r="M106" s="225">
        <v>56347.86412197477</v>
      </c>
    </row>
    <row r="107" spans="1:13" s="199" customFormat="1" ht="21">
      <c r="A107" s="196" t="s">
        <v>103</v>
      </c>
      <c r="B107" s="196" t="s">
        <v>91</v>
      </c>
      <c r="C107" s="224" t="s">
        <v>100</v>
      </c>
      <c r="D107" s="225">
        <v>257</v>
      </c>
      <c r="E107" s="225">
        <v>221.97</v>
      </c>
      <c r="F107" s="225">
        <v>9049624.324386243</v>
      </c>
      <c r="G107" s="225">
        <v>8709218.097444553</v>
      </c>
      <c r="H107" s="225">
        <v>385950.112386434</v>
      </c>
      <c r="I107" s="225">
        <v>18144792.53421723</v>
      </c>
      <c r="J107" s="225">
        <v>35212.54600928499</v>
      </c>
      <c r="K107" s="225">
        <v>33888.00816126285</v>
      </c>
      <c r="L107" s="225">
        <v>1501.7514100639455</v>
      </c>
      <c r="M107" s="225">
        <v>70602.30558061178</v>
      </c>
    </row>
    <row r="108" spans="1:13" s="199" customFormat="1" ht="21">
      <c r="A108" s="196" t="s">
        <v>103</v>
      </c>
      <c r="B108" s="196" t="s">
        <v>91</v>
      </c>
      <c r="C108" s="224" t="s">
        <v>82</v>
      </c>
      <c r="D108" s="225">
        <v>272</v>
      </c>
      <c r="E108" s="225">
        <v>191.81</v>
      </c>
      <c r="F108" s="225">
        <v>7820013.703025296</v>
      </c>
      <c r="G108" s="225">
        <v>7525859.905711762</v>
      </c>
      <c r="H108" s="225">
        <v>333509.44297356356</v>
      </c>
      <c r="I108" s="225">
        <v>15679383.051710622</v>
      </c>
      <c r="J108" s="225">
        <v>28750.050378769472</v>
      </c>
      <c r="K108" s="225">
        <v>27668.602594528536</v>
      </c>
      <c r="L108" s="225">
        <v>1226.1376579910425</v>
      </c>
      <c r="M108" s="225">
        <v>57644.790631289055</v>
      </c>
    </row>
    <row r="109" spans="1:13" ht="21">
      <c r="A109" s="196" t="s">
        <v>103</v>
      </c>
      <c r="B109" s="197" t="s">
        <v>91</v>
      </c>
      <c r="C109" s="198" t="s">
        <v>101</v>
      </c>
      <c r="D109" s="203">
        <v>198</v>
      </c>
      <c r="E109" s="203">
        <v>151.22</v>
      </c>
      <c r="F109" s="203">
        <v>6165176.331638003</v>
      </c>
      <c r="G109" s="203">
        <v>5933270.084676151</v>
      </c>
      <c r="H109" s="203">
        <v>262933.62163840403</v>
      </c>
      <c r="I109" s="203">
        <v>12361380.03795256</v>
      </c>
      <c r="J109" s="203">
        <v>31137.254200191932</v>
      </c>
      <c r="K109" s="203">
        <v>29966.01052866743</v>
      </c>
      <c r="L109" s="203">
        <v>1327.9475840323437</v>
      </c>
      <c r="M109" s="203">
        <v>62431.2123128917</v>
      </c>
    </row>
    <row r="110" spans="1:13" ht="21.75" customHeight="1">
      <c r="A110" s="236"/>
      <c r="B110" s="236"/>
      <c r="C110" s="234" t="s">
        <v>155</v>
      </c>
      <c r="D110" s="235">
        <f aca="true" t="shared" si="8" ref="D110:I110">SUM(D91:D109)</f>
        <v>3727</v>
      </c>
      <c r="E110" s="235">
        <f t="shared" si="8"/>
        <v>3023.3999999999996</v>
      </c>
      <c r="F110" s="235">
        <f t="shared" si="8"/>
        <v>137739336.0232911</v>
      </c>
      <c r="G110" s="235">
        <f t="shared" si="8"/>
        <v>119516531.36179335</v>
      </c>
      <c r="H110" s="235">
        <f t="shared" si="8"/>
        <v>5166552.434272569</v>
      </c>
      <c r="I110" s="235">
        <f t="shared" si="8"/>
        <v>262422419.81935713</v>
      </c>
      <c r="J110" s="235">
        <f>+F110/D110</f>
        <v>36957.160188701666</v>
      </c>
      <c r="K110" s="235">
        <f>+G110/D110</f>
        <v>32067.75727442805</v>
      </c>
      <c r="L110" s="235">
        <f>+H110/D110</f>
        <v>1386.2496469741263</v>
      </c>
      <c r="M110" s="235">
        <f>SUM(J110:L110)</f>
        <v>70411.16711010385</v>
      </c>
    </row>
    <row r="111" spans="1:13" ht="21">
      <c r="A111" s="236"/>
      <c r="B111" s="236"/>
      <c r="C111" s="234" t="s">
        <v>153</v>
      </c>
      <c r="D111" s="314"/>
      <c r="E111" s="315"/>
      <c r="F111" s="315"/>
      <c r="G111" s="315"/>
      <c r="H111" s="315"/>
      <c r="I111" s="316"/>
      <c r="J111" s="235">
        <f>+J110*100/M110</f>
        <v>52.48764039219908</v>
      </c>
      <c r="K111" s="235">
        <f>+K110*100/M110</f>
        <v>45.5435672927887</v>
      </c>
      <c r="L111" s="235">
        <f>+L110*100/M110</f>
        <v>1.9687923150122055</v>
      </c>
      <c r="M111" s="235">
        <f>SUM(J111:L111)</f>
        <v>99.99999999999999</v>
      </c>
    </row>
    <row r="112" spans="1:13" ht="21">
      <c r="A112" s="196" t="s">
        <v>482</v>
      </c>
      <c r="B112" s="197" t="s">
        <v>108</v>
      </c>
      <c r="C112" s="198" t="s">
        <v>111</v>
      </c>
      <c r="D112" s="203">
        <v>1</v>
      </c>
      <c r="E112" s="203">
        <v>0.42</v>
      </c>
      <c r="F112" s="203">
        <v>26321.58504958188</v>
      </c>
      <c r="G112" s="203">
        <v>11180.94202471694</v>
      </c>
      <c r="H112" s="203">
        <v>730.1714219640346</v>
      </c>
      <c r="I112" s="203">
        <v>38232.698496262856</v>
      </c>
      <c r="J112" s="203">
        <v>26321.58504958188</v>
      </c>
      <c r="K112" s="203">
        <v>11180.94202471694</v>
      </c>
      <c r="L112" s="203">
        <v>730.1714219640346</v>
      </c>
      <c r="M112" s="203">
        <v>38232.698496262856</v>
      </c>
    </row>
    <row r="113" spans="1:13" s="199" customFormat="1" ht="21">
      <c r="A113" s="196" t="s">
        <v>482</v>
      </c>
      <c r="B113" s="196" t="s">
        <v>108</v>
      </c>
      <c r="C113" s="224" t="s">
        <v>112</v>
      </c>
      <c r="D113" s="225">
        <v>109</v>
      </c>
      <c r="E113" s="225">
        <v>80.58</v>
      </c>
      <c r="F113" s="225">
        <v>5049984.103084067</v>
      </c>
      <c r="G113" s="225">
        <v>2145143.59131355</v>
      </c>
      <c r="H113" s="225">
        <v>140088.60281395694</v>
      </c>
      <c r="I113" s="225">
        <v>7335216.297211574</v>
      </c>
      <c r="J113" s="225">
        <v>46330.129386092354</v>
      </c>
      <c r="K113" s="225">
        <v>19680.216434069265</v>
      </c>
      <c r="L113" s="225">
        <v>1285.2165395775867</v>
      </c>
      <c r="M113" s="225">
        <v>67295.5623597392</v>
      </c>
    </row>
    <row r="114" spans="1:13" s="199" customFormat="1" ht="21">
      <c r="A114" s="196" t="s">
        <v>482</v>
      </c>
      <c r="B114" s="196" t="s">
        <v>108</v>
      </c>
      <c r="C114" s="224" t="s">
        <v>180</v>
      </c>
      <c r="D114" s="225">
        <v>96</v>
      </c>
      <c r="E114" s="225">
        <v>62.33</v>
      </c>
      <c r="F114" s="225">
        <v>3906248.56223914</v>
      </c>
      <c r="G114" s="225">
        <v>1659305.0390490638</v>
      </c>
      <c r="H114" s="225">
        <v>108360.916026234</v>
      </c>
      <c r="I114" s="225">
        <v>5673914.517314437</v>
      </c>
      <c r="J114" s="225">
        <v>40690.08918999104</v>
      </c>
      <c r="K114" s="225">
        <v>17284.427490094415</v>
      </c>
      <c r="L114" s="225">
        <v>1128.7595419399374</v>
      </c>
      <c r="M114" s="225">
        <v>59103.27622202539</v>
      </c>
    </row>
    <row r="115" spans="1:13" ht="21.75" customHeight="1">
      <c r="A115" s="233"/>
      <c r="B115" s="233"/>
      <c r="C115" s="231" t="s">
        <v>155</v>
      </c>
      <c r="D115" s="228">
        <f aca="true" t="shared" si="9" ref="D115:I115">SUM(D112:D114)</f>
        <v>206</v>
      </c>
      <c r="E115" s="228">
        <f t="shared" si="9"/>
        <v>143.32999999999998</v>
      </c>
      <c r="F115" s="228">
        <f t="shared" si="9"/>
        <v>8982554.250372788</v>
      </c>
      <c r="G115" s="228">
        <f t="shared" si="9"/>
        <v>3815629.5723873307</v>
      </c>
      <c r="H115" s="228">
        <f t="shared" si="9"/>
        <v>249179.69026215497</v>
      </c>
      <c r="I115" s="228">
        <f t="shared" si="9"/>
        <v>13047363.513022274</v>
      </c>
      <c r="J115" s="228">
        <f>+F115/D115</f>
        <v>43604.63228336305</v>
      </c>
      <c r="K115" s="228">
        <f>+G115/D115</f>
        <v>18522.473652365683</v>
      </c>
      <c r="L115" s="228">
        <f>+H115/D115</f>
        <v>1209.6101469036648</v>
      </c>
      <c r="M115" s="228">
        <f>SUM(J115:L115)</f>
        <v>63336.716082632396</v>
      </c>
    </row>
    <row r="116" spans="1:13" ht="21">
      <c r="A116" s="233"/>
      <c r="B116" s="233"/>
      <c r="C116" s="231" t="s">
        <v>153</v>
      </c>
      <c r="D116" s="311"/>
      <c r="E116" s="312"/>
      <c r="F116" s="312"/>
      <c r="G116" s="312"/>
      <c r="H116" s="312"/>
      <c r="I116" s="313"/>
      <c r="J116" s="228">
        <f>+J115*100/M115</f>
        <v>68.84574221763275</v>
      </c>
      <c r="K116" s="228">
        <f>+K115*100/M115</f>
        <v>29.244449030480666</v>
      </c>
      <c r="L116" s="228">
        <f>+L115*100/M115</f>
        <v>1.9098087518865743</v>
      </c>
      <c r="M116" s="228">
        <f>SUM(J116:L116)</f>
        <v>99.99999999999999</v>
      </c>
    </row>
    <row r="117" spans="1:13" s="199" customFormat="1" ht="21">
      <c r="A117" s="196" t="s">
        <v>474</v>
      </c>
      <c r="B117" s="196" t="s">
        <v>76</v>
      </c>
      <c r="C117" s="224" t="s">
        <v>210</v>
      </c>
      <c r="D117" s="225">
        <v>103</v>
      </c>
      <c r="E117" s="225">
        <v>97.72</v>
      </c>
      <c r="F117" s="225">
        <v>9950640.573400961</v>
      </c>
      <c r="G117" s="225">
        <v>4918358.488406815</v>
      </c>
      <c r="H117" s="225">
        <v>129209.05401482637</v>
      </c>
      <c r="I117" s="225">
        <v>14998208.115822602</v>
      </c>
      <c r="J117" s="225">
        <v>96608.16090680545</v>
      </c>
      <c r="K117" s="225">
        <v>47751.053285503054</v>
      </c>
      <c r="L117" s="225">
        <v>1254.4568350954016</v>
      </c>
      <c r="M117" s="225">
        <v>145613.6710274039</v>
      </c>
    </row>
    <row r="118" spans="1:13" s="199" customFormat="1" ht="21">
      <c r="A118" s="196" t="s">
        <v>474</v>
      </c>
      <c r="B118" s="196" t="s">
        <v>63</v>
      </c>
      <c r="C118" s="224" t="s">
        <v>62</v>
      </c>
      <c r="D118" s="225">
        <v>614</v>
      </c>
      <c r="E118" s="225">
        <v>447.19</v>
      </c>
      <c r="F118" s="225">
        <v>21660574.294256866</v>
      </c>
      <c r="G118" s="225">
        <v>15197615.108681604</v>
      </c>
      <c r="H118" s="225">
        <v>1081494.1715329688</v>
      </c>
      <c r="I118" s="225">
        <v>37939683.57447144</v>
      </c>
      <c r="J118" s="225">
        <v>35277.80829683529</v>
      </c>
      <c r="K118" s="225">
        <v>24751.816137917922</v>
      </c>
      <c r="L118" s="225">
        <v>1761.3911588484834</v>
      </c>
      <c r="M118" s="225">
        <v>61791.015593601696</v>
      </c>
    </row>
    <row r="119" spans="1:13" ht="21">
      <c r="A119" s="196" t="s">
        <v>474</v>
      </c>
      <c r="B119" s="197" t="s">
        <v>63</v>
      </c>
      <c r="C119" s="198" t="s">
        <v>64</v>
      </c>
      <c r="D119" s="203">
        <v>325</v>
      </c>
      <c r="E119" s="203">
        <v>267.28</v>
      </c>
      <c r="F119" s="203">
        <v>12946260.64395218</v>
      </c>
      <c r="G119" s="203">
        <v>9083428.892078131</v>
      </c>
      <c r="H119" s="203">
        <v>646395.8544854132</v>
      </c>
      <c r="I119" s="203">
        <v>22676085.390515726</v>
      </c>
      <c r="J119" s="203">
        <v>39834.648135237476</v>
      </c>
      <c r="K119" s="203">
        <v>27949.01197562502</v>
      </c>
      <c r="L119" s="203">
        <v>1988.910321493579</v>
      </c>
      <c r="M119" s="203">
        <v>69772.57043235606</v>
      </c>
    </row>
    <row r="120" spans="1:13" s="199" customFormat="1" ht="21">
      <c r="A120" s="196" t="s">
        <v>474</v>
      </c>
      <c r="B120" s="196" t="s">
        <v>63</v>
      </c>
      <c r="C120" s="224" t="s">
        <v>66</v>
      </c>
      <c r="D120" s="225">
        <v>266</v>
      </c>
      <c r="E120" s="225">
        <v>183.44</v>
      </c>
      <c r="F120" s="225">
        <v>8885296.514990227</v>
      </c>
      <c r="G120" s="225">
        <v>6234152.184835426</v>
      </c>
      <c r="H120" s="225">
        <v>443635.34700241016</v>
      </c>
      <c r="I120" s="225">
        <v>15563084.046828061</v>
      </c>
      <c r="J120" s="225">
        <v>33403.37035710612</v>
      </c>
      <c r="K120" s="225">
        <v>23436.66234900536</v>
      </c>
      <c r="L120" s="225">
        <v>1667.8020564000383</v>
      </c>
      <c r="M120" s="225">
        <v>58507.83476251152</v>
      </c>
    </row>
    <row r="121" spans="1:13" ht="21">
      <c r="A121" s="196" t="s">
        <v>474</v>
      </c>
      <c r="B121" s="197" t="s">
        <v>63</v>
      </c>
      <c r="C121" s="198" t="s">
        <v>247</v>
      </c>
      <c r="D121" s="203">
        <v>99</v>
      </c>
      <c r="E121" s="203">
        <v>83.17</v>
      </c>
      <c r="F121" s="203">
        <v>4028511.290622205</v>
      </c>
      <c r="G121" s="203">
        <v>2826506.962564121</v>
      </c>
      <c r="H121" s="203">
        <v>201140.1646870391</v>
      </c>
      <c r="I121" s="203">
        <v>7056158.417873366</v>
      </c>
      <c r="J121" s="203">
        <v>40692.03323860813</v>
      </c>
      <c r="K121" s="203">
        <v>28550.575379435566</v>
      </c>
      <c r="L121" s="203">
        <v>2031.7188352226171</v>
      </c>
      <c r="M121" s="203">
        <v>71274.32745326632</v>
      </c>
    </row>
    <row r="122" spans="1:13" s="199" customFormat="1" ht="21">
      <c r="A122" s="196" t="s">
        <v>474</v>
      </c>
      <c r="B122" s="196" t="s">
        <v>63</v>
      </c>
      <c r="C122" s="224" t="s">
        <v>248</v>
      </c>
      <c r="D122" s="225">
        <v>296</v>
      </c>
      <c r="E122" s="225">
        <v>233.39</v>
      </c>
      <c r="F122" s="225">
        <v>11304728.268826695</v>
      </c>
      <c r="G122" s="225">
        <v>7931687.627664304</v>
      </c>
      <c r="H122" s="225">
        <v>564435.530074643</v>
      </c>
      <c r="I122" s="225">
        <v>19800851.42656564</v>
      </c>
      <c r="J122" s="225">
        <v>38191.64955684694</v>
      </c>
      <c r="K122" s="225">
        <v>26796.24198535238</v>
      </c>
      <c r="L122" s="225">
        <v>1906.8767907927127</v>
      </c>
      <c r="M122" s="225">
        <v>66894.76833299203</v>
      </c>
    </row>
    <row r="123" spans="1:13" s="199" customFormat="1" ht="21">
      <c r="A123" s="196" t="s">
        <v>474</v>
      </c>
      <c r="B123" s="196" t="s">
        <v>61</v>
      </c>
      <c r="C123" s="224" t="s">
        <v>60</v>
      </c>
      <c r="D123" s="225">
        <v>57</v>
      </c>
      <c r="E123" s="225">
        <v>75.42</v>
      </c>
      <c r="F123" s="225">
        <v>5452994.966045194</v>
      </c>
      <c r="G123" s="225">
        <v>2091439.8724275695</v>
      </c>
      <c r="H123" s="225">
        <v>140682.2842402777</v>
      </c>
      <c r="I123" s="225">
        <v>7685117.1227130415</v>
      </c>
      <c r="J123" s="225">
        <v>95666.57835167008</v>
      </c>
      <c r="K123" s="225">
        <v>36691.92758644859</v>
      </c>
      <c r="L123" s="225">
        <v>2468.110249829433</v>
      </c>
      <c r="M123" s="225">
        <v>134826.6161879481</v>
      </c>
    </row>
    <row r="124" spans="1:13" s="199" customFormat="1" ht="21">
      <c r="A124" s="196" t="s">
        <v>474</v>
      </c>
      <c r="B124" s="196" t="s">
        <v>61</v>
      </c>
      <c r="C124" s="224" t="s">
        <v>235</v>
      </c>
      <c r="D124" s="225">
        <v>141</v>
      </c>
      <c r="E124" s="225">
        <v>106.56</v>
      </c>
      <c r="F124" s="225">
        <v>7704470.214555501</v>
      </c>
      <c r="G124" s="225">
        <v>2954969.939086208</v>
      </c>
      <c r="H124" s="225">
        <v>198768.28704115606</v>
      </c>
      <c r="I124" s="225">
        <v>10858208.440682864</v>
      </c>
      <c r="J124" s="225">
        <v>54641.63272734398</v>
      </c>
      <c r="K124" s="225">
        <v>20957.233610540483</v>
      </c>
      <c r="L124" s="225">
        <v>1409.7041634124544</v>
      </c>
      <c r="M124" s="225">
        <v>77008.57050129693</v>
      </c>
    </row>
    <row r="125" spans="1:13" s="199" customFormat="1" ht="21">
      <c r="A125" s="196" t="s">
        <v>474</v>
      </c>
      <c r="B125" s="196" t="s">
        <v>61</v>
      </c>
      <c r="C125" s="224" t="s">
        <v>512</v>
      </c>
      <c r="D125" s="225">
        <v>31</v>
      </c>
      <c r="E125" s="225">
        <v>26.39</v>
      </c>
      <c r="F125" s="225">
        <v>1908042.1261460178</v>
      </c>
      <c r="G125" s="225">
        <v>731809.8413333804</v>
      </c>
      <c r="H125" s="225">
        <v>49225.74225803405</v>
      </c>
      <c r="I125" s="225">
        <v>2689077.7097374327</v>
      </c>
      <c r="J125" s="225">
        <v>61549.74600471025</v>
      </c>
      <c r="K125" s="225">
        <v>23606.76907527034</v>
      </c>
      <c r="L125" s="225">
        <v>1587.9271696140015</v>
      </c>
      <c r="M125" s="225">
        <v>86744.44224959459</v>
      </c>
    </row>
    <row r="126" spans="1:13" s="199" customFormat="1" ht="21">
      <c r="A126" s="196" t="s">
        <v>474</v>
      </c>
      <c r="B126" s="196" t="s">
        <v>102</v>
      </c>
      <c r="C126" s="224" t="s">
        <v>459</v>
      </c>
      <c r="D126" s="225">
        <v>74</v>
      </c>
      <c r="E126" s="225">
        <v>71.44</v>
      </c>
      <c r="F126" s="225">
        <v>7156659.671613623</v>
      </c>
      <c r="G126" s="225">
        <v>5425122.226428137</v>
      </c>
      <c r="H126" s="225">
        <v>103981.88124670586</v>
      </c>
      <c r="I126" s="225">
        <v>12685763.779288467</v>
      </c>
      <c r="J126" s="225">
        <v>96711.61718396789</v>
      </c>
      <c r="K126" s="225">
        <v>73312.46251929915</v>
      </c>
      <c r="L126" s="225">
        <v>1405.160557387917</v>
      </c>
      <c r="M126" s="225">
        <v>171429.24026065494</v>
      </c>
    </row>
    <row r="127" spans="1:13" ht="21.75" customHeight="1">
      <c r="A127" s="233"/>
      <c r="B127" s="233"/>
      <c r="C127" s="231" t="s">
        <v>155</v>
      </c>
      <c r="D127" s="228">
        <f aca="true" t="shared" si="10" ref="D127:I127">SUM(D117:D126)</f>
        <v>2006</v>
      </c>
      <c r="E127" s="228">
        <f t="shared" si="10"/>
        <v>1592.0000000000002</v>
      </c>
      <c r="F127" s="228">
        <f t="shared" si="10"/>
        <v>90998178.56440946</v>
      </c>
      <c r="G127" s="228">
        <f t="shared" si="10"/>
        <v>57395091.14350569</v>
      </c>
      <c r="H127" s="228">
        <f t="shared" si="10"/>
        <v>3558968.3165834746</v>
      </c>
      <c r="I127" s="228">
        <f t="shared" si="10"/>
        <v>151952238.02449864</v>
      </c>
      <c r="J127" s="228">
        <f>+F127/D127</f>
        <v>45363.00028136065</v>
      </c>
      <c r="K127" s="228">
        <f>+G127/D127</f>
        <v>28611.71044043155</v>
      </c>
      <c r="L127" s="228">
        <f>+H127/D127</f>
        <v>1774.1616732719215</v>
      </c>
      <c r="M127" s="228">
        <f>SUM(J127:L127)</f>
        <v>75748.87239506413</v>
      </c>
    </row>
    <row r="128" spans="1:13" ht="21">
      <c r="A128" s="233"/>
      <c r="B128" s="233"/>
      <c r="C128" s="231" t="s">
        <v>153</v>
      </c>
      <c r="D128" s="311"/>
      <c r="E128" s="312"/>
      <c r="F128" s="312"/>
      <c r="G128" s="312"/>
      <c r="H128" s="312"/>
      <c r="I128" s="313"/>
      <c r="J128" s="228">
        <f>+J127*100/M127</f>
        <v>59.886040342320065</v>
      </c>
      <c r="K128" s="228">
        <f>+K127*100/M127</f>
        <v>37.77179717106379</v>
      </c>
      <c r="L128" s="228">
        <f>+L127*100/M127</f>
        <v>2.342162486616141</v>
      </c>
      <c r="M128" s="228">
        <f>SUM(J128:L128)</f>
        <v>100</v>
      </c>
    </row>
    <row r="129" spans="1:13" s="199" customFormat="1" ht="21">
      <c r="A129" s="196" t="s">
        <v>481</v>
      </c>
      <c r="B129" s="196" t="s">
        <v>108</v>
      </c>
      <c r="C129" s="224" t="s">
        <v>152</v>
      </c>
      <c r="D129" s="225">
        <v>353</v>
      </c>
      <c r="E129" s="225">
        <v>307.83</v>
      </c>
      <c r="F129" s="225">
        <v>19291841.728125695</v>
      </c>
      <c r="G129" s="225">
        <v>8194831.865401465</v>
      </c>
      <c r="H129" s="225">
        <v>535163.4971980684</v>
      </c>
      <c r="I129" s="225">
        <v>28021837.09072523</v>
      </c>
      <c r="J129" s="225">
        <v>54651.109711404235</v>
      </c>
      <c r="K129" s="225">
        <v>23214.821148446077</v>
      </c>
      <c r="L129" s="225">
        <v>1516.0439014109586</v>
      </c>
      <c r="M129" s="225">
        <v>79381.97476126127</v>
      </c>
    </row>
    <row r="130" spans="1:13" ht="21.75" customHeight="1">
      <c r="A130" s="233"/>
      <c r="B130" s="233"/>
      <c r="C130" s="231" t="s">
        <v>155</v>
      </c>
      <c r="D130" s="228">
        <f aca="true" t="shared" si="11" ref="D130:I130">SUM(D129)</f>
        <v>353</v>
      </c>
      <c r="E130" s="228">
        <f t="shared" si="11"/>
        <v>307.83</v>
      </c>
      <c r="F130" s="228">
        <f t="shared" si="11"/>
        <v>19291841.728125695</v>
      </c>
      <c r="G130" s="228">
        <f t="shared" si="11"/>
        <v>8194831.865401465</v>
      </c>
      <c r="H130" s="228">
        <f t="shared" si="11"/>
        <v>535163.4971980684</v>
      </c>
      <c r="I130" s="228">
        <f t="shared" si="11"/>
        <v>28021837.09072523</v>
      </c>
      <c r="J130" s="228">
        <f>+F130/D130</f>
        <v>54651.109711404235</v>
      </c>
      <c r="K130" s="228">
        <f>+G130/D130</f>
        <v>23214.821148446077</v>
      </c>
      <c r="L130" s="228">
        <f>+H130/D130</f>
        <v>1516.0439014109586</v>
      </c>
      <c r="M130" s="228">
        <f>SUM(J130:L130)</f>
        <v>79381.97476126127</v>
      </c>
    </row>
    <row r="131" spans="1:13" ht="21">
      <c r="A131" s="233"/>
      <c r="B131" s="233"/>
      <c r="C131" s="231" t="s">
        <v>153</v>
      </c>
      <c r="D131" s="311"/>
      <c r="E131" s="312"/>
      <c r="F131" s="312"/>
      <c r="G131" s="312"/>
      <c r="H131" s="312"/>
      <c r="I131" s="313"/>
      <c r="J131" s="228">
        <f>+J130*100/M130</f>
        <v>68.84574221763276</v>
      </c>
      <c r="K131" s="228">
        <f>+K130*100/M130</f>
        <v>29.244449030480663</v>
      </c>
      <c r="L131" s="228">
        <f>+L130*100/M130</f>
        <v>1.9098087518865734</v>
      </c>
      <c r="M131" s="228">
        <f>SUM(J131:L131)</f>
        <v>100</v>
      </c>
    </row>
    <row r="132" spans="1:13" ht="21">
      <c r="A132" s="196" t="s">
        <v>485</v>
      </c>
      <c r="B132" s="197" t="s">
        <v>89</v>
      </c>
      <c r="C132" s="198" t="s">
        <v>88</v>
      </c>
      <c r="D132" s="203">
        <v>259</v>
      </c>
      <c r="E132" s="203">
        <v>279.17</v>
      </c>
      <c r="F132" s="203">
        <v>34390053.16</v>
      </c>
      <c r="G132" s="203">
        <v>18359952.52</v>
      </c>
      <c r="H132" s="203">
        <v>985249.06</v>
      </c>
      <c r="I132" s="203">
        <v>53735254.739999995</v>
      </c>
      <c r="J132" s="203">
        <v>132780.128030888</v>
      </c>
      <c r="K132" s="203">
        <v>70887.84756756757</v>
      </c>
      <c r="L132" s="203">
        <v>3804.050424710425</v>
      </c>
      <c r="M132" s="203">
        <v>207472.026023166</v>
      </c>
    </row>
    <row r="133" spans="1:13" ht="21.75" customHeight="1">
      <c r="A133" s="233"/>
      <c r="B133" s="233"/>
      <c r="C133" s="231" t="s">
        <v>155</v>
      </c>
      <c r="D133" s="228">
        <f aca="true" t="shared" si="12" ref="D133:I133">SUM(D132)</f>
        <v>259</v>
      </c>
      <c r="E133" s="228">
        <f t="shared" si="12"/>
        <v>279.17</v>
      </c>
      <c r="F133" s="228">
        <f t="shared" si="12"/>
        <v>34390053.16</v>
      </c>
      <c r="G133" s="228">
        <f t="shared" si="12"/>
        <v>18359952.52</v>
      </c>
      <c r="H133" s="228">
        <f t="shared" si="12"/>
        <v>985249.06</v>
      </c>
      <c r="I133" s="228">
        <f t="shared" si="12"/>
        <v>53735254.739999995</v>
      </c>
      <c r="J133" s="228">
        <f>+F133/D133</f>
        <v>132780.128030888</v>
      </c>
      <c r="K133" s="228">
        <f>+G133/D133</f>
        <v>70887.84756756757</v>
      </c>
      <c r="L133" s="228">
        <f>+H133/D133</f>
        <v>3804.050424710425</v>
      </c>
      <c r="M133" s="228">
        <f>SUM(J133:L133)</f>
        <v>207472.026023166</v>
      </c>
    </row>
    <row r="134" spans="1:13" ht="21">
      <c r="A134" s="233"/>
      <c r="B134" s="233"/>
      <c r="C134" s="231" t="s">
        <v>153</v>
      </c>
      <c r="D134" s="311"/>
      <c r="E134" s="312"/>
      <c r="F134" s="312"/>
      <c r="G134" s="312"/>
      <c r="H134" s="312"/>
      <c r="I134" s="313"/>
      <c r="J134" s="228">
        <f>+J133*100/M133</f>
        <v>63.99905113765168</v>
      </c>
      <c r="K134" s="228">
        <f>+K133*100/M133</f>
        <v>34.16742436382838</v>
      </c>
      <c r="L134" s="228">
        <f>+L133*100/M133</f>
        <v>1.8335244985199455</v>
      </c>
      <c r="M134" s="228">
        <f>SUM(J134:L134)</f>
        <v>100.00000000000001</v>
      </c>
    </row>
    <row r="135" spans="1:13" s="199" customFormat="1" ht="21">
      <c r="A135" s="196" t="s">
        <v>480</v>
      </c>
      <c r="B135" s="196" t="s">
        <v>76</v>
      </c>
      <c r="C135" s="224" t="s">
        <v>82</v>
      </c>
      <c r="D135" s="225">
        <v>143</v>
      </c>
      <c r="E135" s="225">
        <v>132.28</v>
      </c>
      <c r="F135" s="225">
        <v>13469819.228914034</v>
      </c>
      <c r="G135" s="225">
        <v>6657802.505592033</v>
      </c>
      <c r="H135" s="225">
        <v>174905.58396521935</v>
      </c>
      <c r="I135" s="225">
        <v>20302527.318471286</v>
      </c>
      <c r="J135" s="225">
        <v>94194.5400623359</v>
      </c>
      <c r="K135" s="225">
        <v>46558.05947966457</v>
      </c>
      <c r="L135" s="225">
        <v>1223.1159717847506</v>
      </c>
      <c r="M135" s="225">
        <v>141975.71551378522</v>
      </c>
    </row>
    <row r="136" spans="1:13" ht="21">
      <c r="A136" s="196" t="s">
        <v>480</v>
      </c>
      <c r="B136" s="197" t="s">
        <v>43</v>
      </c>
      <c r="C136" s="198" t="s">
        <v>216</v>
      </c>
      <c r="D136" s="203">
        <v>33</v>
      </c>
      <c r="E136" s="203">
        <v>22.06</v>
      </c>
      <c r="F136" s="203">
        <v>1934959.8345383757</v>
      </c>
      <c r="G136" s="203">
        <v>1196215.6990783408</v>
      </c>
      <c r="H136" s="203">
        <v>37868.19319561417</v>
      </c>
      <c r="I136" s="203">
        <v>3169043.7268123305</v>
      </c>
      <c r="J136" s="203">
        <v>58635.146501162904</v>
      </c>
      <c r="K136" s="203">
        <v>36248.96057813154</v>
      </c>
      <c r="L136" s="203">
        <v>1147.5210059277022</v>
      </c>
      <c r="M136" s="203">
        <v>96031.62808522215</v>
      </c>
    </row>
    <row r="137" spans="1:13" ht="21">
      <c r="A137" s="196" t="s">
        <v>480</v>
      </c>
      <c r="B137" s="197" t="s">
        <v>43</v>
      </c>
      <c r="C137" s="198" t="s">
        <v>217</v>
      </c>
      <c r="D137" s="203">
        <v>2</v>
      </c>
      <c r="E137" s="203">
        <v>0.17</v>
      </c>
      <c r="F137" s="203">
        <v>14911.295189098999</v>
      </c>
      <c r="G137" s="203">
        <v>9218.34400921659</v>
      </c>
      <c r="H137" s="203">
        <v>291.82197838868586</v>
      </c>
      <c r="I137" s="203">
        <v>24421.461176704273</v>
      </c>
      <c r="J137" s="203">
        <v>7455.647594549499</v>
      </c>
      <c r="K137" s="203">
        <v>4609.172004608295</v>
      </c>
      <c r="L137" s="203">
        <v>145.91098919434293</v>
      </c>
      <c r="M137" s="203">
        <v>12210.730588352137</v>
      </c>
    </row>
    <row r="138" spans="1:13" s="199" customFormat="1" ht="21">
      <c r="A138" s="196" t="s">
        <v>480</v>
      </c>
      <c r="B138" s="196" t="s">
        <v>43</v>
      </c>
      <c r="C138" s="224" t="s">
        <v>163</v>
      </c>
      <c r="D138" s="225">
        <v>44</v>
      </c>
      <c r="E138" s="225">
        <v>35.94</v>
      </c>
      <c r="F138" s="225">
        <v>3152423.229977753</v>
      </c>
      <c r="G138" s="225">
        <v>1948866.3746543776</v>
      </c>
      <c r="H138" s="225">
        <v>61694.59943111394</v>
      </c>
      <c r="I138" s="225">
        <v>5162984.204063245</v>
      </c>
      <c r="J138" s="225">
        <v>71645.98249949439</v>
      </c>
      <c r="K138" s="225">
        <v>44292.41760578131</v>
      </c>
      <c r="L138" s="225">
        <v>1402.1499870707712</v>
      </c>
      <c r="M138" s="225">
        <v>117340.55009234649</v>
      </c>
    </row>
    <row r="139" spans="1:13" s="199" customFormat="1" ht="21">
      <c r="A139" s="196" t="s">
        <v>480</v>
      </c>
      <c r="B139" s="196" t="s">
        <v>43</v>
      </c>
      <c r="C139" s="224" t="s">
        <v>164</v>
      </c>
      <c r="D139" s="225">
        <v>1</v>
      </c>
      <c r="E139" s="225">
        <v>0.08</v>
      </c>
      <c r="F139" s="225">
        <v>7017.080088987765</v>
      </c>
      <c r="G139" s="225">
        <v>4338.0442396313365</v>
      </c>
      <c r="H139" s="225">
        <v>137.32798982996982</v>
      </c>
      <c r="I139" s="225">
        <v>11492.452318449072</v>
      </c>
      <c r="J139" s="225">
        <v>7017.080088987765</v>
      </c>
      <c r="K139" s="225">
        <v>4338.0442396313365</v>
      </c>
      <c r="L139" s="225">
        <v>137.32798982996982</v>
      </c>
      <c r="M139" s="225">
        <v>11492.452318449072</v>
      </c>
    </row>
    <row r="140" spans="1:13" ht="21.75" customHeight="1">
      <c r="A140" s="233"/>
      <c r="B140" s="233"/>
      <c r="C140" s="231" t="s">
        <v>155</v>
      </c>
      <c r="D140" s="228">
        <f aca="true" t="shared" si="13" ref="D140:I140">SUM(D135:D139)</f>
        <v>223</v>
      </c>
      <c r="E140" s="228">
        <f t="shared" si="13"/>
        <v>190.53</v>
      </c>
      <c r="F140" s="228">
        <f t="shared" si="13"/>
        <v>18579130.66870825</v>
      </c>
      <c r="G140" s="228">
        <f t="shared" si="13"/>
        <v>9816440.9675736</v>
      </c>
      <c r="H140" s="228">
        <f t="shared" si="13"/>
        <v>274897.52656016615</v>
      </c>
      <c r="I140" s="228">
        <f t="shared" si="13"/>
        <v>28670469.162842013</v>
      </c>
      <c r="J140" s="228">
        <f>+F140/D140</f>
        <v>83314.48730362444</v>
      </c>
      <c r="K140" s="228">
        <f>+G140/D140</f>
        <v>44019.91465279641</v>
      </c>
      <c r="L140" s="228">
        <f>+H140/D140</f>
        <v>1232.7243343505208</v>
      </c>
      <c r="M140" s="228">
        <f>SUM(J140:L140)</f>
        <v>128567.12629077138</v>
      </c>
    </row>
    <row r="141" spans="1:13" ht="21">
      <c r="A141" s="233"/>
      <c r="B141" s="233"/>
      <c r="C141" s="231" t="s">
        <v>153</v>
      </c>
      <c r="D141" s="311"/>
      <c r="E141" s="312"/>
      <c r="F141" s="312"/>
      <c r="G141" s="312"/>
      <c r="H141" s="312"/>
      <c r="I141" s="313"/>
      <c r="J141" s="228">
        <f>+J140*100/M140</f>
        <v>64.80232521896602</v>
      </c>
      <c r="K141" s="228">
        <f>+K140*100/M140</f>
        <v>34.23885710351775</v>
      </c>
      <c r="L141" s="228">
        <f>+L140*100/M140</f>
        <v>0.9588176775162209</v>
      </c>
      <c r="M141" s="228">
        <f>SUM(J141:L141)</f>
        <v>99.99999999999999</v>
      </c>
    </row>
    <row r="142" spans="1:13" ht="21">
      <c r="A142" s="196" t="s">
        <v>478</v>
      </c>
      <c r="B142" s="197" t="s">
        <v>91</v>
      </c>
      <c r="C142" s="198" t="s">
        <v>219</v>
      </c>
      <c r="D142" s="203">
        <v>40</v>
      </c>
      <c r="E142" s="203">
        <v>27.67</v>
      </c>
      <c r="F142" s="203">
        <v>1128094.3598510474</v>
      </c>
      <c r="G142" s="203">
        <v>1085660.5</v>
      </c>
      <c r="H142" s="203">
        <v>48111.1843893528</v>
      </c>
      <c r="I142" s="203">
        <v>2261866.0442404</v>
      </c>
      <c r="J142" s="203">
        <v>28202.358996276183</v>
      </c>
      <c r="K142" s="203">
        <v>27141.5125</v>
      </c>
      <c r="L142" s="203">
        <v>1202.77960973382</v>
      </c>
      <c r="M142" s="203">
        <v>56546.65110601001</v>
      </c>
    </row>
    <row r="143" spans="1:13" ht="21.75" customHeight="1">
      <c r="A143" s="233"/>
      <c r="B143" s="233"/>
      <c r="C143" s="231" t="s">
        <v>155</v>
      </c>
      <c r="D143" s="228">
        <f aca="true" t="shared" si="14" ref="D143:I143">SUM(D142)</f>
        <v>40</v>
      </c>
      <c r="E143" s="228">
        <f t="shared" si="14"/>
        <v>27.67</v>
      </c>
      <c r="F143" s="228">
        <f t="shared" si="14"/>
        <v>1128094.3598510474</v>
      </c>
      <c r="G143" s="228">
        <f t="shared" si="14"/>
        <v>1085660.5</v>
      </c>
      <c r="H143" s="228">
        <f t="shared" si="14"/>
        <v>48111.1843893528</v>
      </c>
      <c r="I143" s="228">
        <f t="shared" si="14"/>
        <v>2261866.0442404</v>
      </c>
      <c r="J143" s="228">
        <f>+F143/D143</f>
        <v>28202.358996276183</v>
      </c>
      <c r="K143" s="228">
        <f>+G143/D143</f>
        <v>27141.5125</v>
      </c>
      <c r="L143" s="228">
        <f>+H143/D143</f>
        <v>1202.77960973382</v>
      </c>
      <c r="M143" s="228">
        <f>SUM(J143:L143)</f>
        <v>56546.65110601001</v>
      </c>
    </row>
    <row r="144" spans="1:13" ht="21">
      <c r="A144" s="233"/>
      <c r="B144" s="233"/>
      <c r="C144" s="231" t="s">
        <v>153</v>
      </c>
      <c r="D144" s="311"/>
      <c r="E144" s="312"/>
      <c r="F144" s="312"/>
      <c r="G144" s="312"/>
      <c r="H144" s="312"/>
      <c r="I144" s="313"/>
      <c r="J144" s="228">
        <f>+J143*100/M143</f>
        <v>49.874499098813516</v>
      </c>
      <c r="K144" s="228">
        <f>+K143*100/M143</f>
        <v>47.99844370821686</v>
      </c>
      <c r="L144" s="228">
        <f>+L143*100/M143</f>
        <v>2.1270571929696183</v>
      </c>
      <c r="M144" s="228">
        <f>SUM(J144:L144)</f>
        <v>99.99999999999999</v>
      </c>
    </row>
    <row r="145" spans="1:13" ht="21">
      <c r="A145" s="196" t="s">
        <v>477</v>
      </c>
      <c r="B145" s="197" t="s">
        <v>117</v>
      </c>
      <c r="C145" s="198" t="s">
        <v>118</v>
      </c>
      <c r="D145" s="203">
        <v>5</v>
      </c>
      <c r="E145" s="203">
        <v>3.6100000000000003</v>
      </c>
      <c r="F145" s="203">
        <v>202843.4591477273</v>
      </c>
      <c r="G145" s="203">
        <v>160189.0597348485</v>
      </c>
      <c r="H145" s="203">
        <v>6041.615321969697</v>
      </c>
      <c r="I145" s="203">
        <v>369074.13420454547</v>
      </c>
      <c r="J145" s="203">
        <v>40568.69182954546</v>
      </c>
      <c r="K145" s="203">
        <v>32037.8119469697</v>
      </c>
      <c r="L145" s="203">
        <v>1208.3230643939394</v>
      </c>
      <c r="M145" s="203">
        <v>73814.82684090911</v>
      </c>
    </row>
    <row r="146" spans="1:13" ht="21">
      <c r="A146" s="196" t="s">
        <v>477</v>
      </c>
      <c r="B146" s="197" t="s">
        <v>117</v>
      </c>
      <c r="C146" s="198" t="s">
        <v>119</v>
      </c>
      <c r="D146" s="203">
        <v>6</v>
      </c>
      <c r="E146" s="203">
        <v>1.67</v>
      </c>
      <c r="F146" s="203">
        <v>93836.17085227271</v>
      </c>
      <c r="G146" s="203">
        <v>74104.08026515151</v>
      </c>
      <c r="H146" s="203">
        <v>2794.8746780303027</v>
      </c>
      <c r="I146" s="203">
        <v>170735.1257954545</v>
      </c>
      <c r="J146" s="203">
        <v>15639.36180871212</v>
      </c>
      <c r="K146" s="203">
        <v>12350.680044191919</v>
      </c>
      <c r="L146" s="203">
        <v>465.8124463383838</v>
      </c>
      <c r="M146" s="203">
        <v>28455.854299242423</v>
      </c>
    </row>
    <row r="147" spans="1:13" ht="21">
      <c r="A147" s="196" t="s">
        <v>477</v>
      </c>
      <c r="B147" s="197" t="s">
        <v>85</v>
      </c>
      <c r="C147" s="198" t="s">
        <v>177</v>
      </c>
      <c r="D147" s="203">
        <v>1</v>
      </c>
      <c r="E147" s="203">
        <v>0.28</v>
      </c>
      <c r="F147" s="203">
        <v>31779.29591037333</v>
      </c>
      <c r="G147" s="203">
        <v>11995.7</v>
      </c>
      <c r="H147" s="203">
        <v>551.010380762862</v>
      </c>
      <c r="I147" s="203">
        <v>44326.00629113619</v>
      </c>
      <c r="J147" s="203">
        <v>31779.29591037333</v>
      </c>
      <c r="K147" s="203">
        <v>11995.7</v>
      </c>
      <c r="L147" s="203">
        <v>551.010380762862</v>
      </c>
      <c r="M147" s="203">
        <v>44326.00629113619</v>
      </c>
    </row>
    <row r="148" spans="1:13" ht="21.75" customHeight="1">
      <c r="A148" s="233"/>
      <c r="B148" s="233"/>
      <c r="C148" s="231" t="s">
        <v>155</v>
      </c>
      <c r="D148" s="228">
        <f aca="true" t="shared" si="15" ref="D148:I148">SUM(D145:D147)</f>
        <v>12</v>
      </c>
      <c r="E148" s="228">
        <f t="shared" si="15"/>
        <v>5.5600000000000005</v>
      </c>
      <c r="F148" s="228">
        <f t="shared" si="15"/>
        <v>328458.92591037333</v>
      </c>
      <c r="G148" s="228">
        <f t="shared" si="15"/>
        <v>246288.84000000003</v>
      </c>
      <c r="H148" s="228">
        <f t="shared" si="15"/>
        <v>9387.500380762862</v>
      </c>
      <c r="I148" s="228">
        <f t="shared" si="15"/>
        <v>584135.2662911362</v>
      </c>
      <c r="J148" s="228">
        <f>+F148/D148</f>
        <v>27371.57715919778</v>
      </c>
      <c r="K148" s="228">
        <f>+G148/D148</f>
        <v>20524.070000000003</v>
      </c>
      <c r="L148" s="228">
        <f>+H148/D148</f>
        <v>782.2916983969052</v>
      </c>
      <c r="M148" s="228">
        <f>SUM(J148:L148)</f>
        <v>48677.93885759469</v>
      </c>
    </row>
    <row r="149" spans="1:13" ht="21">
      <c r="A149" s="233"/>
      <c r="B149" s="233"/>
      <c r="C149" s="231" t="s">
        <v>153</v>
      </c>
      <c r="D149" s="311"/>
      <c r="E149" s="312"/>
      <c r="F149" s="312"/>
      <c r="G149" s="312"/>
      <c r="H149" s="312"/>
      <c r="I149" s="313"/>
      <c r="J149" s="228">
        <f>+J148*100/M148</f>
        <v>56.2299427658024</v>
      </c>
      <c r="K149" s="228">
        <f>+K148*100/M148</f>
        <v>42.16298077049303</v>
      </c>
      <c r="L149" s="228">
        <f>+L148*100/M148</f>
        <v>1.6070764637045694</v>
      </c>
      <c r="M149" s="228">
        <f>SUM(J149:L149)</f>
        <v>100</v>
      </c>
    </row>
    <row r="150" spans="1:13" ht="21">
      <c r="A150" s="196" t="s">
        <v>483</v>
      </c>
      <c r="B150" s="197" t="s">
        <v>115</v>
      </c>
      <c r="C150" s="198" t="s">
        <v>218</v>
      </c>
      <c r="D150" s="203">
        <v>22</v>
      </c>
      <c r="E150" s="203">
        <v>17.28</v>
      </c>
      <c r="F150" s="203">
        <v>555794.4871557602</v>
      </c>
      <c r="G150" s="203">
        <v>478865.3762852981</v>
      </c>
      <c r="H150" s="203">
        <v>28461.92404824894</v>
      </c>
      <c r="I150" s="203">
        <v>1063121.787489307</v>
      </c>
      <c r="J150" s="203">
        <v>25263.385779807282</v>
      </c>
      <c r="K150" s="203">
        <v>21766.608012968096</v>
      </c>
      <c r="L150" s="203">
        <v>1293.7238203749519</v>
      </c>
      <c r="M150" s="203">
        <v>48323.71761315033</v>
      </c>
    </row>
    <row r="151" spans="1:13" ht="21.75" customHeight="1">
      <c r="A151" s="233"/>
      <c r="B151" s="233"/>
      <c r="C151" s="231" t="s">
        <v>155</v>
      </c>
      <c r="D151" s="228">
        <f aca="true" t="shared" si="16" ref="D151:I151">SUM(D150)</f>
        <v>22</v>
      </c>
      <c r="E151" s="228">
        <f t="shared" si="16"/>
        <v>17.28</v>
      </c>
      <c r="F151" s="228">
        <f t="shared" si="16"/>
        <v>555794.4871557602</v>
      </c>
      <c r="G151" s="228">
        <f t="shared" si="16"/>
        <v>478865.3762852981</v>
      </c>
      <c r="H151" s="228">
        <f t="shared" si="16"/>
        <v>28461.92404824894</v>
      </c>
      <c r="I151" s="228">
        <f t="shared" si="16"/>
        <v>1063121.787489307</v>
      </c>
      <c r="J151" s="228">
        <f>+F151/D151</f>
        <v>25263.385779807282</v>
      </c>
      <c r="K151" s="228">
        <f>+G151/D151</f>
        <v>21766.608012968096</v>
      </c>
      <c r="L151" s="228">
        <f>+H151/D151</f>
        <v>1293.7238203749519</v>
      </c>
      <c r="M151" s="228">
        <f>SUM(J151:L151)</f>
        <v>48323.71761315033</v>
      </c>
    </row>
    <row r="152" spans="1:13" ht="21.75" thickBot="1">
      <c r="A152" s="237"/>
      <c r="B152" s="237"/>
      <c r="C152" s="238" t="s">
        <v>153</v>
      </c>
      <c r="D152" s="317"/>
      <c r="E152" s="318"/>
      <c r="F152" s="318"/>
      <c r="G152" s="318"/>
      <c r="H152" s="318"/>
      <c r="I152" s="319"/>
      <c r="J152" s="239">
        <f>+J151*100/M151</f>
        <v>52.27947481617672</v>
      </c>
      <c r="K152" s="239">
        <f>+K151*100/M151</f>
        <v>45.0433225920614</v>
      </c>
      <c r="L152" s="239">
        <f>+L151*100/M151</f>
        <v>2.6772025917618785</v>
      </c>
      <c r="M152" s="239">
        <f>SUM(J152:L152)</f>
        <v>100.00000000000001</v>
      </c>
    </row>
    <row r="153" spans="1:13" ht="22.5" thickBot="1" thickTop="1">
      <c r="A153" s="226"/>
      <c r="B153" s="227"/>
      <c r="C153" s="212" t="s">
        <v>3</v>
      </c>
      <c r="D153" s="211">
        <f aca="true" t="shared" si="17" ref="D153:I153">+D10+D15+D37+D40+D49+D53+D60+D89+D110+D115+D127+D130+D133+D140+D143+D148+D151</f>
        <v>17198</v>
      </c>
      <c r="E153" s="211">
        <f t="shared" si="17"/>
        <v>13556.76</v>
      </c>
      <c r="F153" s="211">
        <f t="shared" si="17"/>
        <v>713294021.532917</v>
      </c>
      <c r="G153" s="211">
        <f t="shared" si="17"/>
        <v>488071261.98628515</v>
      </c>
      <c r="H153" s="211">
        <f t="shared" si="17"/>
        <v>24622005.368818354</v>
      </c>
      <c r="I153" s="211">
        <f t="shared" si="17"/>
        <v>1225987288.8880212</v>
      </c>
      <c r="J153" s="211">
        <f>+F153/D153</f>
        <v>41475.40536881713</v>
      </c>
      <c r="K153" s="211">
        <f>+G153/D153</f>
        <v>28379.536108052398</v>
      </c>
      <c r="L153" s="211">
        <f>+H153/D153</f>
        <v>1431.6784142817976</v>
      </c>
      <c r="M153" s="211">
        <f>SUM(J153:L153)</f>
        <v>71286.61989115132</v>
      </c>
    </row>
    <row r="154" spans="1:13" ht="22.5" thickBot="1" thickTop="1">
      <c r="A154" s="226"/>
      <c r="B154" s="227"/>
      <c r="C154" s="240"/>
      <c r="D154" s="320"/>
      <c r="E154" s="321"/>
      <c r="F154" s="321"/>
      <c r="G154" s="321"/>
      <c r="H154" s="321"/>
      <c r="I154" s="322"/>
      <c r="J154" s="211">
        <f>+J153*100/M153</f>
        <v>58.181192251991455</v>
      </c>
      <c r="K154" s="211">
        <f>+K153*100/M153</f>
        <v>39.81046674871886</v>
      </c>
      <c r="L154" s="211">
        <f>+L153*100/M153</f>
        <v>2.0083409992896986</v>
      </c>
      <c r="M154" s="211">
        <f>SUM(J154:L154)</f>
        <v>100.00000000000001</v>
      </c>
    </row>
    <row r="155" ht="21.75" thickTop="1"/>
  </sheetData>
  <sheetProtection/>
  <mergeCells count="20">
    <mergeCell ref="D90:I90"/>
    <mergeCell ref="D111:I111"/>
    <mergeCell ref="A1:M1"/>
    <mergeCell ref="A2:M2"/>
    <mergeCell ref="D11:I11"/>
    <mergeCell ref="D16:I16"/>
    <mergeCell ref="D38:I38"/>
    <mergeCell ref="D149:I149"/>
    <mergeCell ref="D41:I41"/>
    <mergeCell ref="D50:I50"/>
    <mergeCell ref="D54:I54"/>
    <mergeCell ref="D61:I61"/>
    <mergeCell ref="D152:I152"/>
    <mergeCell ref="D154:I154"/>
    <mergeCell ref="D116:I116"/>
    <mergeCell ref="D128:I128"/>
    <mergeCell ref="D131:I131"/>
    <mergeCell ref="D134:I134"/>
    <mergeCell ref="D141:I141"/>
    <mergeCell ref="D144:I144"/>
  </mergeCells>
  <printOptions/>
  <pageMargins left="0.5118110236220472" right="0.5118110236220472" top="0.7480314960629921" bottom="0.7480314960629921" header="0.31496062992125984" footer="0.31496062992125984"/>
  <pageSetup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55">
      <selection activeCell="C69" sqref="C69"/>
    </sheetView>
  </sheetViews>
  <sheetFormatPr defaultColWidth="9.140625" defaultRowHeight="15"/>
  <cols>
    <col min="1" max="1" width="27.421875" style="199" bestFit="1" customWidth="1"/>
    <col min="2" max="2" width="34.8515625" style="200" bestFit="1" customWidth="1"/>
    <col min="3" max="3" width="56.28125" style="200" bestFit="1" customWidth="1"/>
    <col min="4" max="4" width="15.421875" style="204" bestFit="1" customWidth="1"/>
    <col min="5" max="5" width="10.8515625" style="204" bestFit="1" customWidth="1"/>
    <col min="6" max="6" width="16.140625" style="204" bestFit="1" customWidth="1"/>
    <col min="7" max="7" width="16.00390625" style="204" bestFit="1" customWidth="1"/>
    <col min="8" max="8" width="14.421875" style="204" bestFit="1" customWidth="1"/>
    <col min="9" max="9" width="17.8515625" style="204" bestFit="1" customWidth="1"/>
    <col min="10" max="10" width="12.421875" style="204" bestFit="1" customWidth="1"/>
    <col min="11" max="11" width="13.28125" style="204" bestFit="1" customWidth="1"/>
    <col min="12" max="12" width="10.421875" style="204" bestFit="1" customWidth="1"/>
    <col min="13" max="13" width="13.421875" style="204" customWidth="1"/>
    <col min="14" max="16384" width="9.00390625" style="81" customWidth="1"/>
  </cols>
  <sheetData>
    <row r="1" spans="1:13" ht="21">
      <c r="A1" s="326" t="s">
        <v>472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21">
      <c r="A2" s="326" t="s">
        <v>220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ht="21">
      <c r="A3" s="18" t="s">
        <v>265</v>
      </c>
    </row>
    <row r="4" spans="1:13" s="205" customFormat="1" ht="63">
      <c r="A4" s="210" t="s">
        <v>37</v>
      </c>
      <c r="B4" s="195" t="s">
        <v>39</v>
      </c>
      <c r="C4" s="195" t="s">
        <v>38</v>
      </c>
      <c r="D4" s="201" t="s">
        <v>452</v>
      </c>
      <c r="E4" s="201" t="s">
        <v>453</v>
      </c>
      <c r="F4" s="202" t="s">
        <v>207</v>
      </c>
      <c r="G4" s="202" t="s">
        <v>208</v>
      </c>
      <c r="H4" s="202" t="s">
        <v>209</v>
      </c>
      <c r="I4" s="201" t="s">
        <v>40</v>
      </c>
      <c r="J4" s="202" t="s">
        <v>156</v>
      </c>
      <c r="K4" s="202" t="s">
        <v>157</v>
      </c>
      <c r="L4" s="202" t="s">
        <v>154</v>
      </c>
      <c r="M4" s="202" t="s">
        <v>486</v>
      </c>
    </row>
    <row r="5" spans="1:13" ht="21">
      <c r="A5" s="196" t="s">
        <v>52</v>
      </c>
      <c r="B5" s="224" t="s">
        <v>49</v>
      </c>
      <c r="C5" s="224" t="s">
        <v>489</v>
      </c>
      <c r="D5" s="225">
        <v>983</v>
      </c>
      <c r="E5" s="225">
        <v>717.06</v>
      </c>
      <c r="F5" s="225">
        <v>23178304.31899359</v>
      </c>
      <c r="G5" s="225">
        <v>19871250.388058867</v>
      </c>
      <c r="H5" s="225">
        <v>1181071.022727209</v>
      </c>
      <c r="I5" s="225">
        <v>44230625.72977966</v>
      </c>
      <c r="J5" s="225">
        <v>23579.149866727967</v>
      </c>
      <c r="K5" s="225">
        <v>20214.90375184015</v>
      </c>
      <c r="L5" s="225">
        <v>1201.4964625912603</v>
      </c>
      <c r="M5" s="225">
        <v>44995.550081159374</v>
      </c>
    </row>
    <row r="6" spans="1:13" ht="21">
      <c r="A6" s="196" t="s">
        <v>48</v>
      </c>
      <c r="B6" s="224" t="s">
        <v>49</v>
      </c>
      <c r="C6" s="224" t="s">
        <v>488</v>
      </c>
      <c r="D6" s="225">
        <v>948</v>
      </c>
      <c r="E6" s="225">
        <v>669.28</v>
      </c>
      <c r="F6" s="225">
        <v>21633859.808964424</v>
      </c>
      <c r="G6" s="225">
        <v>18547165.45298865</v>
      </c>
      <c r="H6" s="225">
        <v>1102372.4849954904</v>
      </c>
      <c r="I6" s="225">
        <v>41283397.74694856</v>
      </c>
      <c r="J6" s="223">
        <f>+F6/D6</f>
        <v>22820.527224646015</v>
      </c>
      <c r="K6" s="223">
        <f>+G6/D6</f>
        <v>19564.520520030223</v>
      </c>
      <c r="L6" s="223">
        <f>+H6/D6</f>
        <v>1162.840174045876</v>
      </c>
      <c r="M6" s="223">
        <f>SUM(J6:L6)</f>
        <v>43547.88791872212</v>
      </c>
    </row>
    <row r="7" spans="1:13" ht="21">
      <c r="A7" s="196" t="s">
        <v>48</v>
      </c>
      <c r="B7" s="198" t="s">
        <v>49</v>
      </c>
      <c r="C7" s="198" t="s">
        <v>497</v>
      </c>
      <c r="D7" s="203">
        <v>862</v>
      </c>
      <c r="E7" s="203">
        <v>633.78</v>
      </c>
      <c r="F7" s="203">
        <v>20486354.993015587</v>
      </c>
      <c r="G7" s="203">
        <v>17563385.310774483</v>
      </c>
      <c r="H7" s="203">
        <v>1043900.3608959507</v>
      </c>
      <c r="I7" s="203">
        <v>39093640.664686024</v>
      </c>
      <c r="J7" s="203">
        <v>23766.073077744302</v>
      </c>
      <c r="K7" s="203">
        <v>20375.156973056244</v>
      </c>
      <c r="L7" s="203">
        <v>1211.0213003433303</v>
      </c>
      <c r="M7" s="203">
        <v>45352.251351143874</v>
      </c>
    </row>
    <row r="8" spans="1:13" ht="21">
      <c r="A8" s="196" t="s">
        <v>474</v>
      </c>
      <c r="B8" s="224" t="s">
        <v>63</v>
      </c>
      <c r="C8" s="224" t="s">
        <v>62</v>
      </c>
      <c r="D8" s="225">
        <v>614</v>
      </c>
      <c r="E8" s="225">
        <v>447.19</v>
      </c>
      <c r="F8" s="225">
        <v>21660574.294256866</v>
      </c>
      <c r="G8" s="225">
        <v>15197615.108681604</v>
      </c>
      <c r="H8" s="225">
        <v>1081494.1715329688</v>
      </c>
      <c r="I8" s="225">
        <v>37939683.57447144</v>
      </c>
      <c r="J8" s="225">
        <v>35277.80829683529</v>
      </c>
      <c r="K8" s="225">
        <v>24751.816137917922</v>
      </c>
      <c r="L8" s="225">
        <v>1761.3911588484834</v>
      </c>
      <c r="M8" s="225">
        <v>61791.015593601696</v>
      </c>
    </row>
    <row r="9" spans="1:13" ht="21">
      <c r="A9" s="196" t="s">
        <v>48</v>
      </c>
      <c r="B9" s="224" t="s">
        <v>49</v>
      </c>
      <c r="C9" s="224" t="s">
        <v>494</v>
      </c>
      <c r="D9" s="225">
        <v>590</v>
      </c>
      <c r="E9" s="225">
        <v>403.36</v>
      </c>
      <c r="F9" s="225">
        <v>13038240.63552458</v>
      </c>
      <c r="G9" s="225">
        <v>11177959.384887494</v>
      </c>
      <c r="H9" s="225">
        <v>664375.0979377555</v>
      </c>
      <c r="I9" s="225">
        <v>24880575.118349828</v>
      </c>
      <c r="J9" s="225">
        <v>22098.712941567086</v>
      </c>
      <c r="K9" s="225">
        <v>18945.693872690666</v>
      </c>
      <c r="L9" s="225">
        <v>1126.0594880300941</v>
      </c>
      <c r="M9" s="225">
        <v>42170.466302287845</v>
      </c>
    </row>
    <row r="10" spans="1:13" s="199" customFormat="1" ht="21">
      <c r="A10" s="196" t="s">
        <v>48</v>
      </c>
      <c r="B10" s="224" t="s">
        <v>49</v>
      </c>
      <c r="C10" s="224" t="s">
        <v>493</v>
      </c>
      <c r="D10" s="225">
        <v>551</v>
      </c>
      <c r="E10" s="225">
        <v>398.22</v>
      </c>
      <c r="F10" s="225">
        <v>12872094.867806917</v>
      </c>
      <c r="G10" s="225">
        <v>11035519.105141554</v>
      </c>
      <c r="H10" s="225">
        <v>655908.9932089772</v>
      </c>
      <c r="I10" s="225">
        <v>24563522.966157448</v>
      </c>
      <c r="J10" s="225">
        <v>23361.33369837916</v>
      </c>
      <c r="K10" s="225">
        <v>20028.16534508449</v>
      </c>
      <c r="L10" s="225">
        <v>1190.397446840249</v>
      </c>
      <c r="M10" s="225">
        <v>44579.8964903039</v>
      </c>
    </row>
    <row r="11" spans="1:13" s="199" customFormat="1" ht="21">
      <c r="A11" s="196" t="s">
        <v>510</v>
      </c>
      <c r="B11" s="224" t="s">
        <v>55</v>
      </c>
      <c r="C11" s="224" t="s">
        <v>54</v>
      </c>
      <c r="D11" s="225">
        <v>477</v>
      </c>
      <c r="E11" s="225">
        <v>424.78</v>
      </c>
      <c r="F11" s="225">
        <v>21456156.00361101</v>
      </c>
      <c r="G11" s="225">
        <v>11857327.833311487</v>
      </c>
      <c r="H11" s="225">
        <v>561660.075002442</v>
      </c>
      <c r="I11" s="225">
        <v>33875143.911924936</v>
      </c>
      <c r="J11" s="225">
        <v>44981.45912706711</v>
      </c>
      <c r="K11" s="225">
        <v>24858.12962958383</v>
      </c>
      <c r="L11" s="225">
        <v>1177.4844339673837</v>
      </c>
      <c r="M11" s="225">
        <v>71017.07319061832</v>
      </c>
    </row>
    <row r="12" spans="1:13" s="199" customFormat="1" ht="20.25" customHeight="1">
      <c r="A12" s="196" t="s">
        <v>475</v>
      </c>
      <c r="B12" s="224" t="s">
        <v>63</v>
      </c>
      <c r="C12" s="224" t="s">
        <v>67</v>
      </c>
      <c r="D12" s="225">
        <v>457</v>
      </c>
      <c r="E12" s="225">
        <v>323.75</v>
      </c>
      <c r="F12" s="225">
        <v>15681502.108199337</v>
      </c>
      <c r="G12" s="225">
        <v>11002544.536853842</v>
      </c>
      <c r="H12" s="225">
        <v>782964.1495422497</v>
      </c>
      <c r="I12" s="225">
        <v>27467010.794595428</v>
      </c>
      <c r="J12" s="225">
        <v>34314.00898949527</v>
      </c>
      <c r="K12" s="225">
        <v>24075.589796179087</v>
      </c>
      <c r="L12" s="225">
        <v>1713.2694738342445</v>
      </c>
      <c r="M12" s="225">
        <v>60102.86825950861</v>
      </c>
    </row>
    <row r="13" spans="1:13" ht="21">
      <c r="A13" s="196" t="s">
        <v>48</v>
      </c>
      <c r="B13" s="224" t="s">
        <v>49</v>
      </c>
      <c r="C13" s="224" t="s">
        <v>495</v>
      </c>
      <c r="D13" s="225">
        <v>444</v>
      </c>
      <c r="E13" s="225">
        <v>315.61</v>
      </c>
      <c r="F13" s="225">
        <v>10201802.674974991</v>
      </c>
      <c r="G13" s="225">
        <v>8746221.146034168</v>
      </c>
      <c r="H13" s="225">
        <v>519841.8897762173</v>
      </c>
      <c r="I13" s="225">
        <v>19467865.710785378</v>
      </c>
      <c r="J13" s="225">
        <v>22977.033051745475</v>
      </c>
      <c r="K13" s="225">
        <v>19698.69627485173</v>
      </c>
      <c r="L13" s="225">
        <v>1170.8150670635525</v>
      </c>
      <c r="M13" s="225">
        <v>43846.544393660755</v>
      </c>
    </row>
    <row r="14" spans="1:13" s="199" customFormat="1" ht="21">
      <c r="A14" s="196" t="s">
        <v>103</v>
      </c>
      <c r="B14" s="224" t="s">
        <v>91</v>
      </c>
      <c r="C14" s="224" t="s">
        <v>95</v>
      </c>
      <c r="D14" s="225">
        <v>380</v>
      </c>
      <c r="E14" s="225">
        <v>312.39</v>
      </c>
      <c r="F14" s="225">
        <v>12736010.013492895</v>
      </c>
      <c r="G14" s="225">
        <v>12256938.511784043</v>
      </c>
      <c r="H14" s="225">
        <v>543167.795685895</v>
      </c>
      <c r="I14" s="225">
        <v>25536116.32096283</v>
      </c>
      <c r="J14" s="225">
        <v>33515.815824981306</v>
      </c>
      <c r="K14" s="225">
        <v>32255.101346800115</v>
      </c>
      <c r="L14" s="225">
        <v>1429.3889360155133</v>
      </c>
      <c r="M14" s="225">
        <v>67200.30610779693</v>
      </c>
    </row>
    <row r="15" spans="1:13" s="199" customFormat="1" ht="21">
      <c r="A15" s="196" t="s">
        <v>86</v>
      </c>
      <c r="B15" s="224" t="s">
        <v>104</v>
      </c>
      <c r="C15" s="224" t="s">
        <v>107</v>
      </c>
      <c r="D15" s="225">
        <v>366</v>
      </c>
      <c r="E15" s="225">
        <v>260.81</v>
      </c>
      <c r="F15" s="225">
        <v>13035266.31238578</v>
      </c>
      <c r="G15" s="225">
        <v>9632210.17765901</v>
      </c>
      <c r="H15" s="225">
        <v>596704.0855509265</v>
      </c>
      <c r="I15" s="225">
        <v>23264180.575595718</v>
      </c>
      <c r="J15" s="225">
        <v>35615.48172783</v>
      </c>
      <c r="K15" s="225">
        <v>26317.51414660932</v>
      </c>
      <c r="L15" s="225">
        <v>1630.3390315599086</v>
      </c>
      <c r="M15" s="225">
        <v>63563.33490599923</v>
      </c>
    </row>
    <row r="16" spans="1:13" s="199" customFormat="1" ht="21">
      <c r="A16" s="196" t="s">
        <v>103</v>
      </c>
      <c r="B16" s="224" t="s">
        <v>91</v>
      </c>
      <c r="C16" s="224" t="s">
        <v>97</v>
      </c>
      <c r="D16" s="225">
        <v>355</v>
      </c>
      <c r="E16" s="225">
        <v>290.19</v>
      </c>
      <c r="F16" s="225">
        <v>11830925.272305463</v>
      </c>
      <c r="G16" s="225">
        <v>11385898.993996644</v>
      </c>
      <c r="H16" s="225">
        <v>504567.5682002941</v>
      </c>
      <c r="I16" s="225">
        <v>23721391.834502403</v>
      </c>
      <c r="J16" s="225">
        <v>33326.55006283229</v>
      </c>
      <c r="K16" s="225">
        <v>32072.954912666602</v>
      </c>
      <c r="L16" s="225">
        <v>1421.3170935219553</v>
      </c>
      <c r="M16" s="225">
        <v>66820.82206902085</v>
      </c>
    </row>
    <row r="17" spans="1:13" s="199" customFormat="1" ht="21">
      <c r="A17" s="196" t="s">
        <v>481</v>
      </c>
      <c r="B17" s="224" t="s">
        <v>108</v>
      </c>
      <c r="C17" s="224" t="s">
        <v>152</v>
      </c>
      <c r="D17" s="225">
        <v>353</v>
      </c>
      <c r="E17" s="225">
        <v>307.83</v>
      </c>
      <c r="F17" s="225">
        <v>19291841.728125695</v>
      </c>
      <c r="G17" s="225">
        <v>8194831.865401465</v>
      </c>
      <c r="H17" s="225">
        <v>535163.4971980684</v>
      </c>
      <c r="I17" s="225">
        <v>28021837.09072523</v>
      </c>
      <c r="J17" s="225">
        <v>54651.109711404235</v>
      </c>
      <c r="K17" s="225">
        <v>23214.821148446077</v>
      </c>
      <c r="L17" s="225">
        <v>1516.0439014109586</v>
      </c>
      <c r="M17" s="225">
        <v>79381.97476126127</v>
      </c>
    </row>
    <row r="18" spans="1:13" s="199" customFormat="1" ht="21">
      <c r="A18" s="196" t="s">
        <v>474</v>
      </c>
      <c r="B18" s="198" t="s">
        <v>63</v>
      </c>
      <c r="C18" s="198" t="s">
        <v>64</v>
      </c>
      <c r="D18" s="203">
        <v>325</v>
      </c>
      <c r="E18" s="203">
        <v>267.28</v>
      </c>
      <c r="F18" s="203">
        <v>12946260.64395218</v>
      </c>
      <c r="G18" s="203">
        <v>9083428.892078131</v>
      </c>
      <c r="H18" s="203">
        <v>646395.8544854132</v>
      </c>
      <c r="I18" s="203">
        <v>22676085.390515726</v>
      </c>
      <c r="J18" s="203">
        <v>39834.648135237476</v>
      </c>
      <c r="K18" s="203">
        <v>27949.01197562502</v>
      </c>
      <c r="L18" s="203">
        <v>1988.910321493579</v>
      </c>
      <c r="M18" s="203">
        <v>69772.57043235606</v>
      </c>
    </row>
    <row r="19" spans="1:13" s="199" customFormat="1" ht="21">
      <c r="A19" s="196" t="s">
        <v>48</v>
      </c>
      <c r="B19" s="224" t="s">
        <v>49</v>
      </c>
      <c r="C19" s="224" t="s">
        <v>496</v>
      </c>
      <c r="D19" s="225">
        <v>323</v>
      </c>
      <c r="E19" s="225">
        <v>204.97</v>
      </c>
      <c r="F19" s="225">
        <v>6625466.538733322</v>
      </c>
      <c r="G19" s="225">
        <v>5680152.55632782</v>
      </c>
      <c r="H19" s="225">
        <v>337606.5148361309</v>
      </c>
      <c r="I19" s="225">
        <v>12643225.609897273</v>
      </c>
      <c r="J19" s="225">
        <v>20512.28030567592</v>
      </c>
      <c r="K19" s="225">
        <v>17585.611629497893</v>
      </c>
      <c r="L19" s="225">
        <v>1045.2214081613959</v>
      </c>
      <c r="M19" s="225">
        <v>39143.11334333521</v>
      </c>
    </row>
    <row r="20" spans="1:13" s="199" customFormat="1" ht="21">
      <c r="A20" s="196" t="s">
        <v>103</v>
      </c>
      <c r="B20" s="198" t="s">
        <v>91</v>
      </c>
      <c r="C20" s="198" t="s">
        <v>90</v>
      </c>
      <c r="D20" s="203">
        <v>317</v>
      </c>
      <c r="E20" s="203">
        <v>249.56</v>
      </c>
      <c r="F20" s="203">
        <v>10174457.117600715</v>
      </c>
      <c r="G20" s="203">
        <v>9791739.732388442</v>
      </c>
      <c r="H20" s="203">
        <v>433922.19690570113</v>
      </c>
      <c r="I20" s="203">
        <v>20400119.04689486</v>
      </c>
      <c r="J20" s="203">
        <v>32096.079235333484</v>
      </c>
      <c r="K20" s="203">
        <v>30888.76887188783</v>
      </c>
      <c r="L20" s="203">
        <v>1368.8397378728741</v>
      </c>
      <c r="M20" s="203">
        <v>64353.687845094195</v>
      </c>
    </row>
    <row r="21" spans="1:13" s="199" customFormat="1" ht="21">
      <c r="A21" s="196" t="s">
        <v>103</v>
      </c>
      <c r="B21" s="224" t="s">
        <v>91</v>
      </c>
      <c r="C21" s="224" t="s">
        <v>94</v>
      </c>
      <c r="D21" s="225">
        <v>298</v>
      </c>
      <c r="E21" s="225">
        <v>229.86</v>
      </c>
      <c r="F21" s="225">
        <v>9371296.333754208</v>
      </c>
      <c r="G21" s="225">
        <v>9018790.250387913</v>
      </c>
      <c r="H21" s="225">
        <v>399668.8418846949</v>
      </c>
      <c r="I21" s="225">
        <v>18789755.426026814</v>
      </c>
      <c r="J21" s="225">
        <v>31447.303133403384</v>
      </c>
      <c r="K21" s="225">
        <v>30264.396813382256</v>
      </c>
      <c r="L21" s="225">
        <v>1341.1706103513252</v>
      </c>
      <c r="M21" s="225">
        <v>63052.870557136965</v>
      </c>
    </row>
    <row r="22" spans="1:13" s="199" customFormat="1" ht="21">
      <c r="A22" s="196" t="s">
        <v>103</v>
      </c>
      <c r="B22" s="224" t="s">
        <v>91</v>
      </c>
      <c r="C22" s="224" t="s">
        <v>96</v>
      </c>
      <c r="D22" s="225">
        <v>298</v>
      </c>
      <c r="E22" s="225">
        <v>251.25</v>
      </c>
      <c r="F22" s="225">
        <v>10243357.712763181</v>
      </c>
      <c r="G22" s="225">
        <v>9858048.596580366</v>
      </c>
      <c r="H22" s="225">
        <v>436860.68269176706</v>
      </c>
      <c r="I22" s="225">
        <v>20538266.992035314</v>
      </c>
      <c r="J22" s="225">
        <v>34373.68359987644</v>
      </c>
      <c r="K22" s="225">
        <v>33080.69998852472</v>
      </c>
      <c r="L22" s="225">
        <v>1465.9754452743862</v>
      </c>
      <c r="M22" s="225">
        <v>68920.35903367554</v>
      </c>
    </row>
    <row r="23" spans="1:13" s="199" customFormat="1" ht="21">
      <c r="A23" s="196" t="s">
        <v>474</v>
      </c>
      <c r="B23" s="224" t="s">
        <v>63</v>
      </c>
      <c r="C23" s="224" t="s">
        <v>248</v>
      </c>
      <c r="D23" s="225">
        <v>296</v>
      </c>
      <c r="E23" s="225">
        <v>233.39</v>
      </c>
      <c r="F23" s="225">
        <v>11304728.268826695</v>
      </c>
      <c r="G23" s="225">
        <v>7931687.627664304</v>
      </c>
      <c r="H23" s="225">
        <v>564435.530074643</v>
      </c>
      <c r="I23" s="225">
        <v>19800851.42656564</v>
      </c>
      <c r="J23" s="225">
        <v>38191.64955684694</v>
      </c>
      <c r="K23" s="225">
        <v>26796.24198535238</v>
      </c>
      <c r="L23" s="225">
        <v>1906.8767907927127</v>
      </c>
      <c r="M23" s="225">
        <v>66894.76833299203</v>
      </c>
    </row>
    <row r="24" spans="1:13" s="199" customFormat="1" ht="21">
      <c r="A24" s="196" t="s">
        <v>103</v>
      </c>
      <c r="B24" s="224" t="s">
        <v>91</v>
      </c>
      <c r="C24" s="224" t="s">
        <v>82</v>
      </c>
      <c r="D24" s="225">
        <v>272</v>
      </c>
      <c r="E24" s="225">
        <v>191.81</v>
      </c>
      <c r="F24" s="225">
        <v>7820013.703025296</v>
      </c>
      <c r="G24" s="225">
        <v>7525859.905711762</v>
      </c>
      <c r="H24" s="225">
        <v>333509.44297356356</v>
      </c>
      <c r="I24" s="225">
        <v>15679383.051710622</v>
      </c>
      <c r="J24" s="225">
        <v>28750.050378769472</v>
      </c>
      <c r="K24" s="225">
        <v>27668.602594528536</v>
      </c>
      <c r="L24" s="225">
        <v>1226.1376579910425</v>
      </c>
      <c r="M24" s="225">
        <v>57644.790631289055</v>
      </c>
    </row>
    <row r="25" spans="1:13" s="199" customFormat="1" ht="21">
      <c r="A25" s="196" t="s">
        <v>474</v>
      </c>
      <c r="B25" s="224" t="s">
        <v>63</v>
      </c>
      <c r="C25" s="224" t="s">
        <v>66</v>
      </c>
      <c r="D25" s="225">
        <v>266</v>
      </c>
      <c r="E25" s="225">
        <v>183.44</v>
      </c>
      <c r="F25" s="225">
        <v>8885296.514990227</v>
      </c>
      <c r="G25" s="225">
        <v>6234152.184835426</v>
      </c>
      <c r="H25" s="225">
        <v>443635.34700241016</v>
      </c>
      <c r="I25" s="225">
        <v>15563084.046828061</v>
      </c>
      <c r="J25" s="225">
        <v>33403.37035710612</v>
      </c>
      <c r="K25" s="225">
        <v>23436.66234900536</v>
      </c>
      <c r="L25" s="225">
        <v>1667.8020564000383</v>
      </c>
      <c r="M25" s="225">
        <v>58507.83476251152</v>
      </c>
    </row>
    <row r="26" spans="1:13" s="199" customFormat="1" ht="21">
      <c r="A26" s="196" t="s">
        <v>48</v>
      </c>
      <c r="B26" s="224" t="s">
        <v>55</v>
      </c>
      <c r="C26" s="224" t="s">
        <v>56</v>
      </c>
      <c r="D26" s="225">
        <v>262</v>
      </c>
      <c r="E26" s="225">
        <v>245.36</v>
      </c>
      <c r="F26" s="225">
        <v>12393432.923033098</v>
      </c>
      <c r="G26" s="225">
        <v>6848989.964643596</v>
      </c>
      <c r="H26" s="225">
        <v>324424.21018550586</v>
      </c>
      <c r="I26" s="225">
        <v>19566847.0978622</v>
      </c>
      <c r="J26" s="225">
        <v>47303.17909554618</v>
      </c>
      <c r="K26" s="225">
        <v>26141.18307115876</v>
      </c>
      <c r="L26" s="225">
        <v>1238.260344219488</v>
      </c>
      <c r="M26" s="225">
        <v>74682.62251092441</v>
      </c>
    </row>
    <row r="27" spans="1:13" ht="21">
      <c r="A27" s="196" t="s">
        <v>485</v>
      </c>
      <c r="B27" s="198" t="s">
        <v>89</v>
      </c>
      <c r="C27" s="198" t="s">
        <v>88</v>
      </c>
      <c r="D27" s="203">
        <v>259</v>
      </c>
      <c r="E27" s="203">
        <v>279.17</v>
      </c>
      <c r="F27" s="203">
        <v>34390053.16</v>
      </c>
      <c r="G27" s="203">
        <v>18359952.52</v>
      </c>
      <c r="H27" s="203">
        <v>985249.06</v>
      </c>
      <c r="I27" s="203">
        <v>53735254.739999995</v>
      </c>
      <c r="J27" s="203">
        <v>132780.128030888</v>
      </c>
      <c r="K27" s="203">
        <v>70887.84756756757</v>
      </c>
      <c r="L27" s="203">
        <v>3804.050424710425</v>
      </c>
      <c r="M27" s="203">
        <v>207472.026023166</v>
      </c>
    </row>
    <row r="28" spans="1:13" s="199" customFormat="1" ht="21">
      <c r="A28" s="196" t="s">
        <v>103</v>
      </c>
      <c r="B28" s="224" t="s">
        <v>91</v>
      </c>
      <c r="C28" s="224" t="s">
        <v>100</v>
      </c>
      <c r="D28" s="225">
        <v>257</v>
      </c>
      <c r="E28" s="225">
        <v>221.97</v>
      </c>
      <c r="F28" s="225">
        <v>9049624.324386243</v>
      </c>
      <c r="G28" s="225">
        <v>8709218.097444553</v>
      </c>
      <c r="H28" s="225">
        <v>385950.112386434</v>
      </c>
      <c r="I28" s="225">
        <v>18144792.53421723</v>
      </c>
      <c r="J28" s="225">
        <v>35212.54600928499</v>
      </c>
      <c r="K28" s="225">
        <v>33888.00816126285</v>
      </c>
      <c r="L28" s="225">
        <v>1501.7514100639455</v>
      </c>
      <c r="M28" s="225">
        <v>70602.30558061178</v>
      </c>
    </row>
    <row r="29" spans="1:13" s="199" customFormat="1" ht="21">
      <c r="A29" s="196" t="s">
        <v>476</v>
      </c>
      <c r="B29" s="224" t="s">
        <v>73</v>
      </c>
      <c r="C29" s="224" t="s">
        <v>74</v>
      </c>
      <c r="D29" s="225">
        <v>252</v>
      </c>
      <c r="E29" s="225">
        <v>200.55</v>
      </c>
      <c r="F29" s="225">
        <v>11268769.057048962</v>
      </c>
      <c r="G29" s="225">
        <v>8899145.640203273</v>
      </c>
      <c r="H29" s="225">
        <v>335636.17731140327</v>
      </c>
      <c r="I29" s="225">
        <v>20503550.874563638</v>
      </c>
      <c r="J29" s="225">
        <v>44717.33752797207</v>
      </c>
      <c r="K29" s="225">
        <v>35314.07000080664</v>
      </c>
      <c r="L29" s="225">
        <v>1331.8895925055685</v>
      </c>
      <c r="M29" s="225">
        <v>81363.29712128428</v>
      </c>
    </row>
    <row r="30" spans="1:13" s="199" customFormat="1" ht="21">
      <c r="A30" s="196" t="s">
        <v>476</v>
      </c>
      <c r="B30" s="224" t="s">
        <v>76</v>
      </c>
      <c r="C30" s="224" t="s">
        <v>80</v>
      </c>
      <c r="D30" s="225">
        <v>233</v>
      </c>
      <c r="E30" s="225">
        <v>219.7</v>
      </c>
      <c r="F30" s="225">
        <v>22371630.51551567</v>
      </c>
      <c r="G30" s="225">
        <v>11057750.306006724</v>
      </c>
      <c r="H30" s="225">
        <v>290495.59114876535</v>
      </c>
      <c r="I30" s="225">
        <v>33719876.412671156</v>
      </c>
      <c r="J30" s="225">
        <v>96015.58161165523</v>
      </c>
      <c r="K30" s="225">
        <v>47458.155819771346</v>
      </c>
      <c r="L30" s="225">
        <v>1246.762193771525</v>
      </c>
      <c r="M30" s="225">
        <v>144720.4996251981</v>
      </c>
    </row>
    <row r="31" spans="1:13" s="199" customFormat="1" ht="21">
      <c r="A31" s="196" t="s">
        <v>476</v>
      </c>
      <c r="B31" s="224" t="s">
        <v>73</v>
      </c>
      <c r="C31" s="224" t="s">
        <v>72</v>
      </c>
      <c r="D31" s="225">
        <v>232</v>
      </c>
      <c r="E31" s="225">
        <v>193.31</v>
      </c>
      <c r="F31" s="225">
        <v>10861958.34663742</v>
      </c>
      <c r="G31" s="225">
        <v>8577880.048405359</v>
      </c>
      <c r="H31" s="225">
        <v>323519.4686415725</v>
      </c>
      <c r="I31" s="225">
        <v>19763357.86368435</v>
      </c>
      <c r="J31" s="225">
        <v>46818.78597688543</v>
      </c>
      <c r="K31" s="225">
        <v>36973.62089829896</v>
      </c>
      <c r="L31" s="225">
        <v>1394.4804682826402</v>
      </c>
      <c r="M31" s="225">
        <v>85186.88734346702</v>
      </c>
    </row>
    <row r="32" spans="1:13" ht="21">
      <c r="A32" s="196" t="s">
        <v>479</v>
      </c>
      <c r="B32" s="224" t="s">
        <v>196</v>
      </c>
      <c r="C32" s="224" t="s">
        <v>513</v>
      </c>
      <c r="D32" s="225">
        <v>228</v>
      </c>
      <c r="E32" s="225">
        <v>210.06</v>
      </c>
      <c r="F32" s="225">
        <v>10571896.799670117</v>
      </c>
      <c r="G32" s="225">
        <v>4587027.956623021</v>
      </c>
      <c r="H32" s="225">
        <v>342684.1956991764</v>
      </c>
      <c r="I32" s="225">
        <v>15501608.951992312</v>
      </c>
      <c r="J32" s="225">
        <v>46367.96841960578</v>
      </c>
      <c r="K32" s="225">
        <v>20118.543669399212</v>
      </c>
      <c r="L32" s="225">
        <v>1503.000858329721</v>
      </c>
      <c r="M32" s="225">
        <v>67989.5129473347</v>
      </c>
    </row>
    <row r="33" spans="1:13" s="199" customFormat="1" ht="21">
      <c r="A33" s="196" t="s">
        <v>103</v>
      </c>
      <c r="B33" s="224" t="s">
        <v>91</v>
      </c>
      <c r="C33" s="224" t="s">
        <v>92</v>
      </c>
      <c r="D33" s="225">
        <v>224</v>
      </c>
      <c r="E33" s="225">
        <v>159.3</v>
      </c>
      <c r="F33" s="225">
        <v>6494594.56176388</v>
      </c>
      <c r="G33" s="225">
        <v>6250297.0803393135</v>
      </c>
      <c r="H33" s="225">
        <v>276982.71344397415</v>
      </c>
      <c r="I33" s="225">
        <v>13021874.355547167</v>
      </c>
      <c r="J33" s="225">
        <v>28993.72572216018</v>
      </c>
      <c r="K33" s="225">
        <v>27903.11196580051</v>
      </c>
      <c r="L33" s="225">
        <v>1236.5299707320276</v>
      </c>
      <c r="M33" s="225">
        <v>58133.36765869272</v>
      </c>
    </row>
    <row r="34" spans="1:13" s="199" customFormat="1" ht="21">
      <c r="A34" s="196" t="s">
        <v>48</v>
      </c>
      <c r="B34" s="224" t="s">
        <v>55</v>
      </c>
      <c r="C34" s="224" t="s">
        <v>58</v>
      </c>
      <c r="D34" s="225">
        <v>220</v>
      </c>
      <c r="E34" s="225">
        <v>207.5</v>
      </c>
      <c r="F34" s="225">
        <v>10481078.136327712</v>
      </c>
      <c r="G34" s="225">
        <v>5792164.238928701</v>
      </c>
      <c r="H34" s="225">
        <v>274364.2957837156</v>
      </c>
      <c r="I34" s="225">
        <v>16547606.671040127</v>
      </c>
      <c r="J34" s="225">
        <v>47641.26425603505</v>
      </c>
      <c r="K34" s="225">
        <v>26328.01926785773</v>
      </c>
      <c r="L34" s="225">
        <v>1247.1104353805256</v>
      </c>
      <c r="M34" s="225">
        <v>75216.39395927331</v>
      </c>
    </row>
    <row r="35" spans="1:13" s="199" customFormat="1" ht="21">
      <c r="A35" s="196" t="s">
        <v>103</v>
      </c>
      <c r="B35" s="224" t="s">
        <v>91</v>
      </c>
      <c r="C35" s="224" t="s">
        <v>93</v>
      </c>
      <c r="D35" s="225">
        <v>207</v>
      </c>
      <c r="E35" s="225">
        <v>144.94</v>
      </c>
      <c r="F35" s="225">
        <v>5909143.350797594</v>
      </c>
      <c r="G35" s="225">
        <v>5686867.9147795355</v>
      </c>
      <c r="H35" s="225">
        <v>252014.27800734216</v>
      </c>
      <c r="I35" s="225">
        <v>11848025.543584472</v>
      </c>
      <c r="J35" s="225">
        <v>28546.586235737166</v>
      </c>
      <c r="K35" s="225">
        <v>27472.791858838336</v>
      </c>
      <c r="L35" s="225">
        <v>1217.460280228706</v>
      </c>
      <c r="M35" s="225">
        <v>57236.8383748042</v>
      </c>
    </row>
    <row r="36" spans="1:13" ht="21">
      <c r="A36" s="196" t="s">
        <v>103</v>
      </c>
      <c r="B36" s="198" t="s">
        <v>91</v>
      </c>
      <c r="C36" s="198" t="s">
        <v>101</v>
      </c>
      <c r="D36" s="203">
        <v>198</v>
      </c>
      <c r="E36" s="203">
        <v>151.22</v>
      </c>
      <c r="F36" s="203">
        <v>6165176.331638003</v>
      </c>
      <c r="G36" s="203">
        <v>5933270.084676151</v>
      </c>
      <c r="H36" s="203">
        <v>262933.62163840403</v>
      </c>
      <c r="I36" s="203">
        <v>12361380.03795256</v>
      </c>
      <c r="J36" s="203">
        <v>31137.254200191932</v>
      </c>
      <c r="K36" s="203">
        <v>29966.01052866743</v>
      </c>
      <c r="L36" s="203">
        <v>1327.9475840323437</v>
      </c>
      <c r="M36" s="203">
        <v>62431.2123128917</v>
      </c>
    </row>
    <row r="37" spans="1:13" s="199" customFormat="1" ht="21">
      <c r="A37" s="196" t="s">
        <v>253</v>
      </c>
      <c r="B37" s="198" t="s">
        <v>104</v>
      </c>
      <c r="C37" s="198" t="s">
        <v>105</v>
      </c>
      <c r="D37" s="203">
        <v>184</v>
      </c>
      <c r="E37" s="203">
        <v>131.06</v>
      </c>
      <c r="F37" s="203">
        <v>6550370.012274376</v>
      </c>
      <c r="G37" s="203">
        <v>4840295.486691423</v>
      </c>
      <c r="H37" s="203">
        <v>299850.6094563262</v>
      </c>
      <c r="I37" s="203">
        <v>11690516.108422127</v>
      </c>
      <c r="J37" s="203">
        <v>35599.837023230306</v>
      </c>
      <c r="K37" s="203">
        <v>26305.953732018603</v>
      </c>
      <c r="L37" s="203">
        <v>1629.6228774800336</v>
      </c>
      <c r="M37" s="203">
        <v>63535.41363272894</v>
      </c>
    </row>
    <row r="38" spans="1:13" ht="21">
      <c r="A38" s="196" t="s">
        <v>475</v>
      </c>
      <c r="B38" s="224" t="s">
        <v>63</v>
      </c>
      <c r="C38" s="224" t="s">
        <v>65</v>
      </c>
      <c r="D38" s="225">
        <v>170</v>
      </c>
      <c r="E38" s="225">
        <v>129.72</v>
      </c>
      <c r="F38" s="225">
        <v>6283256.999152488</v>
      </c>
      <c r="G38" s="225">
        <v>4408494.447322565</v>
      </c>
      <c r="H38" s="225">
        <v>313717.7126752761</v>
      </c>
      <c r="I38" s="225">
        <v>11005469.159150328</v>
      </c>
      <c r="J38" s="225">
        <v>36960.33528913228</v>
      </c>
      <c r="K38" s="225">
        <v>25932.32027836803</v>
      </c>
      <c r="L38" s="225">
        <v>1845.3983098545652</v>
      </c>
      <c r="M38" s="225">
        <v>64738.053877354876</v>
      </c>
    </row>
    <row r="39" spans="1:13" s="199" customFormat="1" ht="21">
      <c r="A39" s="196" t="s">
        <v>253</v>
      </c>
      <c r="B39" s="224" t="s">
        <v>104</v>
      </c>
      <c r="C39" s="224" t="s">
        <v>106</v>
      </c>
      <c r="D39" s="225">
        <v>165</v>
      </c>
      <c r="E39" s="225">
        <v>125.28</v>
      </c>
      <c r="F39" s="225">
        <v>6261485.999830107</v>
      </c>
      <c r="G39" s="225">
        <v>4626829.075024427</v>
      </c>
      <c r="H39" s="225">
        <v>286626.61645573436</v>
      </c>
      <c r="I39" s="225">
        <v>11174941.691310268</v>
      </c>
      <c r="J39" s="225">
        <v>37948.399998970344</v>
      </c>
      <c r="K39" s="225">
        <v>28041.388333481376</v>
      </c>
      <c r="L39" s="225">
        <v>1737.1310088226326</v>
      </c>
      <c r="M39" s="225">
        <v>67726.91934127435</v>
      </c>
    </row>
    <row r="40" spans="1:13" s="199" customFormat="1" ht="21">
      <c r="A40" s="196" t="s">
        <v>103</v>
      </c>
      <c r="B40" s="224" t="s">
        <v>91</v>
      </c>
      <c r="C40" s="224" t="s">
        <v>98</v>
      </c>
      <c r="D40" s="225">
        <v>162</v>
      </c>
      <c r="E40" s="225">
        <v>146.36</v>
      </c>
      <c r="F40" s="225">
        <v>5967036.158567241</v>
      </c>
      <c r="G40" s="225">
        <v>5742583.055106478</v>
      </c>
      <c r="H40" s="225">
        <v>254483.30156723197</v>
      </c>
      <c r="I40" s="225">
        <v>11964102.51524095</v>
      </c>
      <c r="J40" s="225">
        <v>36833.556534365685</v>
      </c>
      <c r="K40" s="225">
        <v>35448.04355003998</v>
      </c>
      <c r="L40" s="225">
        <v>1570.884577575506</v>
      </c>
      <c r="M40" s="225">
        <v>73852.48466198117</v>
      </c>
    </row>
    <row r="41" spans="1:13" s="199" customFormat="1" ht="21">
      <c r="A41" s="196" t="s">
        <v>480</v>
      </c>
      <c r="B41" s="224" t="s">
        <v>76</v>
      </c>
      <c r="C41" s="224" t="s">
        <v>82</v>
      </c>
      <c r="D41" s="225">
        <v>143</v>
      </c>
      <c r="E41" s="225">
        <v>132.28</v>
      </c>
      <c r="F41" s="225">
        <v>13469819.228914034</v>
      </c>
      <c r="G41" s="225">
        <v>6657802.505592033</v>
      </c>
      <c r="H41" s="225">
        <v>174905.58396521935</v>
      </c>
      <c r="I41" s="225">
        <v>20302527.318471286</v>
      </c>
      <c r="J41" s="225">
        <v>94194.5400623359</v>
      </c>
      <c r="K41" s="225">
        <v>46558.05947966457</v>
      </c>
      <c r="L41" s="225">
        <v>1223.1159717847506</v>
      </c>
      <c r="M41" s="225">
        <v>141975.71551378522</v>
      </c>
    </row>
    <row r="42" spans="1:13" s="199" customFormat="1" ht="21">
      <c r="A42" s="196" t="s">
        <v>52</v>
      </c>
      <c r="B42" s="224" t="s">
        <v>61</v>
      </c>
      <c r="C42" s="224" t="s">
        <v>54</v>
      </c>
      <c r="D42" s="225">
        <v>141</v>
      </c>
      <c r="E42" s="225">
        <v>140.92</v>
      </c>
      <c r="F42" s="225">
        <v>10188756.96917381</v>
      </c>
      <c r="G42" s="225">
        <v>3907792.453228495</v>
      </c>
      <c r="H42" s="225">
        <v>262860.61383107834</v>
      </c>
      <c r="I42" s="225">
        <v>14359410.036233382</v>
      </c>
      <c r="J42" s="225">
        <v>72260.68772463694</v>
      </c>
      <c r="K42" s="225">
        <v>27714.840093819115</v>
      </c>
      <c r="L42" s="225">
        <v>1864.2596725608394</v>
      </c>
      <c r="M42" s="225">
        <v>101839.7874910169</v>
      </c>
    </row>
    <row r="43" spans="1:13" ht="21">
      <c r="A43" s="196" t="s">
        <v>479</v>
      </c>
      <c r="B43" s="224" t="s">
        <v>102</v>
      </c>
      <c r="C43" s="224" t="s">
        <v>514</v>
      </c>
      <c r="D43" s="225">
        <v>141</v>
      </c>
      <c r="E43" s="225">
        <v>111.64</v>
      </c>
      <c r="F43" s="225">
        <v>11183783.395002028</v>
      </c>
      <c r="G43" s="225">
        <v>8477892.572206568</v>
      </c>
      <c r="H43" s="225">
        <v>162493.52214980742</v>
      </c>
      <c r="I43" s="225">
        <v>19824169.489358403</v>
      </c>
      <c r="J43" s="225">
        <v>79317.61273051084</v>
      </c>
      <c r="K43" s="225">
        <v>60126.89767522389</v>
      </c>
      <c r="L43" s="225">
        <v>1152.4363273035988</v>
      </c>
      <c r="M43" s="225">
        <v>140596.94673303832</v>
      </c>
    </row>
    <row r="44" spans="1:13" ht="21">
      <c r="A44" s="196" t="s">
        <v>474</v>
      </c>
      <c r="B44" s="224" t="s">
        <v>61</v>
      </c>
      <c r="C44" s="224" t="s">
        <v>515</v>
      </c>
      <c r="D44" s="225">
        <v>141</v>
      </c>
      <c r="E44" s="225">
        <v>106.56</v>
      </c>
      <c r="F44" s="225">
        <v>7704470.214555501</v>
      </c>
      <c r="G44" s="225">
        <v>2954969.939086208</v>
      </c>
      <c r="H44" s="225">
        <v>198768.28704115606</v>
      </c>
      <c r="I44" s="225">
        <v>10858208.440682864</v>
      </c>
      <c r="J44" s="225">
        <v>54641.63272734398</v>
      </c>
      <c r="K44" s="225">
        <v>20957.233610540483</v>
      </c>
      <c r="L44" s="225">
        <v>1409.7041634124544</v>
      </c>
      <c r="M44" s="225">
        <v>77008.57050129693</v>
      </c>
    </row>
    <row r="45" spans="1:13" s="199" customFormat="1" ht="21">
      <c r="A45" s="196" t="s">
        <v>86</v>
      </c>
      <c r="B45" s="224" t="s">
        <v>108</v>
      </c>
      <c r="C45" s="224" t="s">
        <v>109</v>
      </c>
      <c r="D45" s="225">
        <v>139</v>
      </c>
      <c r="E45" s="225">
        <v>89.36</v>
      </c>
      <c r="F45" s="225">
        <v>5600230.571501517</v>
      </c>
      <c r="G45" s="225">
        <v>2378878.5222112043</v>
      </c>
      <c r="H45" s="225">
        <v>155352.66253977653</v>
      </c>
      <c r="I45" s="225">
        <v>8134461.756252497</v>
      </c>
      <c r="J45" s="225">
        <v>40289.42857195336</v>
      </c>
      <c r="K45" s="225">
        <v>17114.233972742477</v>
      </c>
      <c r="L45" s="225">
        <v>1117.6450542429966</v>
      </c>
      <c r="M45" s="225">
        <v>58521.30759893883</v>
      </c>
    </row>
    <row r="46" spans="1:13" s="199" customFormat="1" ht="21">
      <c r="A46" s="196" t="s">
        <v>48</v>
      </c>
      <c r="B46" s="224" t="s">
        <v>49</v>
      </c>
      <c r="C46" s="224" t="s">
        <v>498</v>
      </c>
      <c r="D46" s="225">
        <v>130</v>
      </c>
      <c r="E46" s="225">
        <v>72.64</v>
      </c>
      <c r="F46" s="225">
        <v>2348021.1219865764</v>
      </c>
      <c r="G46" s="225">
        <v>2013008.1557869583</v>
      </c>
      <c r="H46" s="225">
        <v>119645.49562226934</v>
      </c>
      <c r="I46" s="225">
        <v>4480674.773395805</v>
      </c>
      <c r="J46" s="225">
        <v>18061.70093835828</v>
      </c>
      <c r="K46" s="225">
        <v>15484.67812143814</v>
      </c>
      <c r="L46" s="225">
        <v>920.3499663251488</v>
      </c>
      <c r="M46" s="225">
        <v>34466.729026121575</v>
      </c>
    </row>
    <row r="47" spans="1:13" s="199" customFormat="1" ht="21">
      <c r="A47" s="196" t="s">
        <v>48</v>
      </c>
      <c r="B47" s="224" t="s">
        <v>55</v>
      </c>
      <c r="C47" s="224" t="s">
        <v>169</v>
      </c>
      <c r="D47" s="225">
        <v>129</v>
      </c>
      <c r="E47" s="225">
        <v>122.61</v>
      </c>
      <c r="F47" s="225">
        <v>6193180.676121159</v>
      </c>
      <c r="G47" s="225">
        <v>3422540.9992050505</v>
      </c>
      <c r="H47" s="225">
        <v>162119.54846284998</v>
      </c>
      <c r="I47" s="225">
        <v>9777841.223789059</v>
      </c>
      <c r="J47" s="225">
        <v>48009.152528071005</v>
      </c>
      <c r="K47" s="225">
        <v>26531.32557523295</v>
      </c>
      <c r="L47" s="225">
        <v>1256.740685758527</v>
      </c>
      <c r="M47" s="225">
        <v>75797.21878906249</v>
      </c>
    </row>
    <row r="48" spans="1:13" s="199" customFormat="1" ht="21">
      <c r="A48" s="196" t="s">
        <v>476</v>
      </c>
      <c r="B48" s="224" t="s">
        <v>196</v>
      </c>
      <c r="C48" s="224" t="s">
        <v>516</v>
      </c>
      <c r="D48" s="225">
        <v>121</v>
      </c>
      <c r="E48" s="225">
        <v>107.31</v>
      </c>
      <c r="F48" s="225">
        <v>5400696.208571838</v>
      </c>
      <c r="G48" s="225">
        <v>2343301.771042637</v>
      </c>
      <c r="H48" s="225">
        <v>175061.60640045043</v>
      </c>
      <c r="I48" s="225">
        <v>7919059.586014926</v>
      </c>
      <c r="J48" s="225">
        <v>44633.852963403624</v>
      </c>
      <c r="K48" s="225">
        <v>19366.130339195348</v>
      </c>
      <c r="L48" s="225">
        <v>1446.7901355409126</v>
      </c>
      <c r="M48" s="225">
        <v>65446.773438139884</v>
      </c>
    </row>
    <row r="49" spans="1:13" s="199" customFormat="1" ht="21">
      <c r="A49" s="196" t="s">
        <v>103</v>
      </c>
      <c r="B49" s="224" t="s">
        <v>91</v>
      </c>
      <c r="C49" s="224" t="s">
        <v>201</v>
      </c>
      <c r="D49" s="225">
        <v>110</v>
      </c>
      <c r="E49" s="225">
        <v>110.56</v>
      </c>
      <c r="F49" s="225">
        <v>4507485.0894451635</v>
      </c>
      <c r="G49" s="225">
        <v>4337933.742638509</v>
      </c>
      <c r="H49" s="225">
        <v>192236.08787423588</v>
      </c>
      <c r="I49" s="225">
        <v>9037654.919957908</v>
      </c>
      <c r="J49" s="225">
        <v>40977.13717677422</v>
      </c>
      <c r="K49" s="225">
        <v>39435.76129671372</v>
      </c>
      <c r="L49" s="225">
        <v>1747.6007988566898</v>
      </c>
      <c r="M49" s="225">
        <v>82160.49927234462</v>
      </c>
    </row>
    <row r="50" spans="1:13" s="199" customFormat="1" ht="21">
      <c r="A50" s="196" t="s">
        <v>482</v>
      </c>
      <c r="B50" s="224" t="s">
        <v>108</v>
      </c>
      <c r="C50" s="224" t="s">
        <v>112</v>
      </c>
      <c r="D50" s="225">
        <v>109</v>
      </c>
      <c r="E50" s="225">
        <v>80.58</v>
      </c>
      <c r="F50" s="225">
        <v>5049984.103084067</v>
      </c>
      <c r="G50" s="225">
        <v>2145143.59131355</v>
      </c>
      <c r="H50" s="225">
        <v>140088.60281395694</v>
      </c>
      <c r="I50" s="225">
        <v>7335216.297211574</v>
      </c>
      <c r="J50" s="225">
        <v>46330.129386092354</v>
      </c>
      <c r="K50" s="225">
        <v>19680.216434069265</v>
      </c>
      <c r="L50" s="225">
        <v>1285.2165395775867</v>
      </c>
      <c r="M50" s="225">
        <v>67295.5623597392</v>
      </c>
    </row>
    <row r="51" spans="1:13" s="199" customFormat="1" ht="21">
      <c r="A51" s="196" t="s">
        <v>86</v>
      </c>
      <c r="B51" s="224" t="s">
        <v>104</v>
      </c>
      <c r="C51" s="224" t="s">
        <v>124</v>
      </c>
      <c r="D51" s="225">
        <v>108</v>
      </c>
      <c r="E51" s="225">
        <v>91.72</v>
      </c>
      <c r="F51" s="225">
        <v>4584159.4500671895</v>
      </c>
      <c r="G51" s="225">
        <v>3387394.3387710764</v>
      </c>
      <c r="H51" s="225">
        <v>209845.09308205583</v>
      </c>
      <c r="I51" s="225">
        <v>8181398.881920321</v>
      </c>
      <c r="J51" s="225">
        <v>42445.92083395546</v>
      </c>
      <c r="K51" s="225">
        <v>31364.762396028484</v>
      </c>
      <c r="L51" s="225">
        <v>1943.0101211301464</v>
      </c>
      <c r="M51" s="225">
        <v>75753.6933511141</v>
      </c>
    </row>
    <row r="52" spans="1:13" ht="21">
      <c r="A52" s="196" t="s">
        <v>474</v>
      </c>
      <c r="B52" s="224" t="s">
        <v>76</v>
      </c>
      <c r="C52" s="224" t="s">
        <v>210</v>
      </c>
      <c r="D52" s="225">
        <v>103</v>
      </c>
      <c r="E52" s="225">
        <v>97.72</v>
      </c>
      <c r="F52" s="225">
        <v>9950640.573400961</v>
      </c>
      <c r="G52" s="225">
        <v>4918358.488406815</v>
      </c>
      <c r="H52" s="225">
        <v>129209.05401482637</v>
      </c>
      <c r="I52" s="225">
        <v>14998208.115822602</v>
      </c>
      <c r="J52" s="225">
        <v>96608.16090680545</v>
      </c>
      <c r="K52" s="225">
        <v>47751.053285503054</v>
      </c>
      <c r="L52" s="225">
        <v>1254.4568350954016</v>
      </c>
      <c r="M52" s="225">
        <v>145613.6710274039</v>
      </c>
    </row>
    <row r="53" spans="1:13" s="199" customFormat="1" ht="21">
      <c r="A53" s="196" t="s">
        <v>253</v>
      </c>
      <c r="B53" s="224" t="s">
        <v>104</v>
      </c>
      <c r="C53" s="224" t="s">
        <v>96</v>
      </c>
      <c r="D53" s="225">
        <v>101</v>
      </c>
      <c r="E53" s="225">
        <v>79.03</v>
      </c>
      <c r="F53" s="225">
        <v>3949914.1009464674</v>
      </c>
      <c r="G53" s="225">
        <v>2918728.4626371367</v>
      </c>
      <c r="H53" s="225">
        <v>180811.79357037586</v>
      </c>
      <c r="I53" s="225">
        <v>7049454.35715398</v>
      </c>
      <c r="J53" s="225">
        <v>39108.06040541057</v>
      </c>
      <c r="K53" s="225">
        <v>28898.30161026868</v>
      </c>
      <c r="L53" s="225">
        <v>1790.2157779245135</v>
      </c>
      <c r="M53" s="225">
        <v>69796.57779360376</v>
      </c>
    </row>
    <row r="54" spans="1:13" ht="21">
      <c r="A54" s="196" t="s">
        <v>48</v>
      </c>
      <c r="B54" s="224" t="s">
        <v>55</v>
      </c>
      <c r="C54" s="224" t="s">
        <v>171</v>
      </c>
      <c r="D54" s="225">
        <v>99</v>
      </c>
      <c r="E54" s="225">
        <v>83.67</v>
      </c>
      <c r="F54" s="225">
        <v>4226273.771886938</v>
      </c>
      <c r="G54" s="225">
        <v>2335568.105403202</v>
      </c>
      <c r="H54" s="225">
        <v>110631.61748541438</v>
      </c>
      <c r="I54" s="225">
        <v>6672473.494775555</v>
      </c>
      <c r="J54" s="225">
        <v>42689.63405946402</v>
      </c>
      <c r="K54" s="225">
        <v>23591.597024274768</v>
      </c>
      <c r="L54" s="225">
        <v>1117.4910857112563</v>
      </c>
      <c r="M54" s="225">
        <v>67398.72216945005</v>
      </c>
    </row>
    <row r="55" spans="1:13" s="199" customFormat="1" ht="21">
      <c r="A55" s="196" t="s">
        <v>473</v>
      </c>
      <c r="B55" s="224" t="s">
        <v>102</v>
      </c>
      <c r="C55" s="224" t="s">
        <v>505</v>
      </c>
      <c r="D55" s="225">
        <v>99</v>
      </c>
      <c r="E55" s="225">
        <v>84.31</v>
      </c>
      <c r="F55" s="225">
        <v>8445940.32634021</v>
      </c>
      <c r="G55" s="225">
        <v>6402464.374442277</v>
      </c>
      <c r="H55" s="225">
        <v>122714.33941643016</v>
      </c>
      <c r="I55" s="225">
        <v>14971119.040198915</v>
      </c>
      <c r="J55" s="225">
        <v>85312.528548891</v>
      </c>
      <c r="K55" s="225">
        <v>64671.357317598755</v>
      </c>
      <c r="L55" s="225">
        <v>1239.538781984143</v>
      </c>
      <c r="M55" s="225">
        <v>151223.4246484739</v>
      </c>
    </row>
    <row r="56" spans="1:13" s="199" customFormat="1" ht="21">
      <c r="A56" s="196" t="s">
        <v>474</v>
      </c>
      <c r="B56" s="198" t="s">
        <v>63</v>
      </c>
      <c r="C56" s="198" t="s">
        <v>247</v>
      </c>
      <c r="D56" s="203">
        <v>99</v>
      </c>
      <c r="E56" s="203">
        <v>83.17</v>
      </c>
      <c r="F56" s="203">
        <v>4028511.290622205</v>
      </c>
      <c r="G56" s="203">
        <v>2826506.962564121</v>
      </c>
      <c r="H56" s="203">
        <v>201140.1646870391</v>
      </c>
      <c r="I56" s="203">
        <v>7056158.417873366</v>
      </c>
      <c r="J56" s="203">
        <v>40692.03323860813</v>
      </c>
      <c r="K56" s="203">
        <v>28550.575379435566</v>
      </c>
      <c r="L56" s="203">
        <v>2031.7188352226171</v>
      </c>
      <c r="M56" s="203">
        <v>71274.32745326632</v>
      </c>
    </row>
    <row r="57" spans="1:13" ht="21">
      <c r="A57" s="196" t="s">
        <v>482</v>
      </c>
      <c r="B57" s="224" t="s">
        <v>108</v>
      </c>
      <c r="C57" s="224" t="s">
        <v>180</v>
      </c>
      <c r="D57" s="225">
        <v>96</v>
      </c>
      <c r="E57" s="225">
        <v>62.33</v>
      </c>
      <c r="F57" s="225">
        <v>3906248.56223914</v>
      </c>
      <c r="G57" s="225">
        <v>1659305.0390490638</v>
      </c>
      <c r="H57" s="225">
        <v>108360.916026234</v>
      </c>
      <c r="I57" s="225">
        <v>5673914.517314437</v>
      </c>
      <c r="J57" s="225">
        <v>40690.08918999104</v>
      </c>
      <c r="K57" s="225">
        <v>17284.427490094415</v>
      </c>
      <c r="L57" s="225">
        <v>1128.7595419399374</v>
      </c>
      <c r="M57" s="225">
        <v>59103.27622202539</v>
      </c>
    </row>
    <row r="58" spans="1:13" ht="21">
      <c r="A58" s="196" t="s">
        <v>476</v>
      </c>
      <c r="B58" s="224" t="s">
        <v>85</v>
      </c>
      <c r="C58" s="224" t="s">
        <v>517</v>
      </c>
      <c r="D58" s="225">
        <v>92</v>
      </c>
      <c r="E58" s="225">
        <v>70.97</v>
      </c>
      <c r="F58" s="225">
        <v>8054916.5374124</v>
      </c>
      <c r="G58" s="225">
        <v>3040484.033580785</v>
      </c>
      <c r="H58" s="225">
        <v>139661.45267563316</v>
      </c>
      <c r="I58" s="225">
        <v>11235062.023668818</v>
      </c>
      <c r="J58" s="225">
        <v>87553.44062404783</v>
      </c>
      <c r="K58" s="225">
        <v>33048.73949544332</v>
      </c>
      <c r="L58" s="225">
        <v>1518.059268213404</v>
      </c>
      <c r="M58" s="225">
        <v>122120.23938770455</v>
      </c>
    </row>
    <row r="59" spans="1:13" s="199" customFormat="1" ht="21">
      <c r="A59" s="196" t="s">
        <v>473</v>
      </c>
      <c r="B59" s="224" t="s">
        <v>61</v>
      </c>
      <c r="C59" s="224" t="s">
        <v>503</v>
      </c>
      <c r="D59" s="225">
        <v>91</v>
      </c>
      <c r="E59" s="225">
        <v>70.44</v>
      </c>
      <c r="F59" s="225">
        <v>5092932.450387476</v>
      </c>
      <c r="G59" s="225">
        <v>1953341.6151391936</v>
      </c>
      <c r="H59" s="225">
        <v>131393.00055535877</v>
      </c>
      <c r="I59" s="225">
        <v>7177667.066082029</v>
      </c>
      <c r="J59" s="225">
        <v>55966.29066359864</v>
      </c>
      <c r="K59" s="225">
        <v>21465.292474057074</v>
      </c>
      <c r="L59" s="225">
        <v>1443.8791269819644</v>
      </c>
      <c r="M59" s="225">
        <v>78875.46226463768</v>
      </c>
    </row>
    <row r="60" spans="1:13" ht="21">
      <c r="A60" s="196" t="s">
        <v>475</v>
      </c>
      <c r="B60" s="198" t="s">
        <v>69</v>
      </c>
      <c r="C60" s="198" t="s">
        <v>67</v>
      </c>
      <c r="D60" s="203">
        <v>91</v>
      </c>
      <c r="E60" s="203">
        <v>73.42</v>
      </c>
      <c r="F60" s="203">
        <v>6393647.959443486</v>
      </c>
      <c r="G60" s="203">
        <v>4514066.239516604</v>
      </c>
      <c r="H60" s="203">
        <v>158297.5537381944</v>
      </c>
      <c r="I60" s="203">
        <v>11066011.752698284</v>
      </c>
      <c r="J60" s="203">
        <v>70259.86768619216</v>
      </c>
      <c r="K60" s="203">
        <v>49605.12351117147</v>
      </c>
      <c r="L60" s="203">
        <v>1739.5335575625759</v>
      </c>
      <c r="M60" s="203">
        <v>121604.5247549262</v>
      </c>
    </row>
    <row r="61" spans="1:13" ht="21">
      <c r="A61" s="196" t="s">
        <v>479</v>
      </c>
      <c r="B61" s="224" t="s">
        <v>102</v>
      </c>
      <c r="C61" s="224" t="s">
        <v>513</v>
      </c>
      <c r="D61" s="225">
        <v>84</v>
      </c>
      <c r="E61" s="225">
        <v>76.44</v>
      </c>
      <c r="F61" s="225">
        <v>7657545.706860937</v>
      </c>
      <c r="G61" s="225">
        <v>5804820.030629435</v>
      </c>
      <c r="H61" s="225">
        <v>111259.44852321102</v>
      </c>
      <c r="I61" s="225">
        <v>13573625.186013581</v>
      </c>
      <c r="J61" s="225">
        <v>91161.25841501115</v>
      </c>
      <c r="K61" s="225">
        <v>69105.00036463613</v>
      </c>
      <c r="L61" s="225">
        <v>1324.5172443239408</v>
      </c>
      <c r="M61" s="225">
        <v>161590.77602397124</v>
      </c>
    </row>
    <row r="62" spans="1:13" s="199" customFormat="1" ht="21">
      <c r="A62" s="196" t="s">
        <v>476</v>
      </c>
      <c r="B62" s="198" t="s">
        <v>73</v>
      </c>
      <c r="C62" s="198" t="s">
        <v>518</v>
      </c>
      <c r="D62" s="203">
        <v>74</v>
      </c>
      <c r="E62" s="203">
        <v>61.33</v>
      </c>
      <c r="F62" s="203">
        <v>3446091.2803231752</v>
      </c>
      <c r="G62" s="203">
        <v>2721439.05317211</v>
      </c>
      <c r="H62" s="203">
        <v>102640.57219899456</v>
      </c>
      <c r="I62" s="203">
        <v>6270170.90569428</v>
      </c>
      <c r="J62" s="203">
        <v>46568.801085448315</v>
      </c>
      <c r="K62" s="203">
        <v>36776.20342124473</v>
      </c>
      <c r="L62" s="203">
        <v>1387.0347594458724</v>
      </c>
      <c r="M62" s="203">
        <v>84732.03926613892</v>
      </c>
    </row>
    <row r="63" spans="1:13" s="199" customFormat="1" ht="21">
      <c r="A63" s="196" t="s">
        <v>474</v>
      </c>
      <c r="B63" s="224" t="s">
        <v>102</v>
      </c>
      <c r="C63" s="224" t="s">
        <v>519</v>
      </c>
      <c r="D63" s="225">
        <v>74</v>
      </c>
      <c r="E63" s="225">
        <v>71.44</v>
      </c>
      <c r="F63" s="225">
        <v>7156659.671613623</v>
      </c>
      <c r="G63" s="225">
        <v>5425122.226428137</v>
      </c>
      <c r="H63" s="225">
        <v>103981.88124670586</v>
      </c>
      <c r="I63" s="225">
        <v>12685763.779288467</v>
      </c>
      <c r="J63" s="225">
        <v>96711.61718396789</v>
      </c>
      <c r="K63" s="225">
        <v>73312.46251929915</v>
      </c>
      <c r="L63" s="225">
        <v>1405.160557387917</v>
      </c>
      <c r="M63" s="225">
        <v>171429.24026065494</v>
      </c>
    </row>
    <row r="64" spans="1:13" s="199" customFormat="1" ht="21">
      <c r="A64" s="196" t="s">
        <v>476</v>
      </c>
      <c r="B64" s="198" t="s">
        <v>73</v>
      </c>
      <c r="C64" s="198" t="s">
        <v>75</v>
      </c>
      <c r="D64" s="203">
        <v>73</v>
      </c>
      <c r="E64" s="203">
        <v>70.17</v>
      </c>
      <c r="F64" s="203">
        <v>3942804.91016268</v>
      </c>
      <c r="G64" s="203">
        <v>3113702.5658093425</v>
      </c>
      <c r="H64" s="203">
        <v>117435.00654171611</v>
      </c>
      <c r="I64" s="203">
        <v>7173942.482513739</v>
      </c>
      <c r="J64" s="203">
        <v>54011.02616661205</v>
      </c>
      <c r="K64" s="203">
        <v>42653.45980560743</v>
      </c>
      <c r="L64" s="203">
        <v>1608.6987197495357</v>
      </c>
      <c r="M64" s="203">
        <v>98273.18469196901</v>
      </c>
    </row>
    <row r="65" spans="1:13" s="199" customFormat="1" ht="21">
      <c r="A65" s="196" t="s">
        <v>479</v>
      </c>
      <c r="B65" s="224" t="s">
        <v>196</v>
      </c>
      <c r="C65" s="224" t="s">
        <v>520</v>
      </c>
      <c r="D65" s="225">
        <v>70</v>
      </c>
      <c r="E65" s="225">
        <v>59.72</v>
      </c>
      <c r="F65" s="225">
        <v>3005587.3411230096</v>
      </c>
      <c r="G65" s="225">
        <v>1304090.7815363551</v>
      </c>
      <c r="H65" s="225">
        <v>97425.02221819866</v>
      </c>
      <c r="I65" s="225">
        <v>4407103.144877563</v>
      </c>
      <c r="J65" s="225">
        <v>42936.96201604299</v>
      </c>
      <c r="K65" s="225">
        <v>18629.868307662215</v>
      </c>
      <c r="L65" s="225">
        <v>1391.7860316885524</v>
      </c>
      <c r="M65" s="225">
        <v>62958.61635539375</v>
      </c>
    </row>
    <row r="66" spans="1:13" s="199" customFormat="1" ht="21">
      <c r="A66" s="196" t="s">
        <v>484</v>
      </c>
      <c r="B66" s="224" t="s">
        <v>76</v>
      </c>
      <c r="C66" s="224" t="s">
        <v>84</v>
      </c>
      <c r="D66" s="225">
        <v>67</v>
      </c>
      <c r="E66" s="225">
        <v>61.97</v>
      </c>
      <c r="F66" s="225">
        <v>6310286.4954324365</v>
      </c>
      <c r="G66" s="225">
        <v>3119020.4208613415</v>
      </c>
      <c r="H66" s="225">
        <v>81939.0613722758</v>
      </c>
      <c r="I66" s="225">
        <v>9511245.977666054</v>
      </c>
      <c r="J66" s="225">
        <v>94183.38052884233</v>
      </c>
      <c r="K66" s="225">
        <v>46552.5435949454</v>
      </c>
      <c r="L66" s="225">
        <v>1222.9710652578478</v>
      </c>
      <c r="M66" s="225">
        <v>141958.89518904558</v>
      </c>
    </row>
    <row r="67" spans="1:13" s="199" customFormat="1" ht="21">
      <c r="A67" s="196" t="s">
        <v>52</v>
      </c>
      <c r="B67" s="224" t="s">
        <v>43</v>
      </c>
      <c r="C67" s="224" t="s">
        <v>44</v>
      </c>
      <c r="D67" s="225">
        <v>67</v>
      </c>
      <c r="E67" s="225">
        <v>67.61</v>
      </c>
      <c r="F67" s="225">
        <v>5930309.810205784</v>
      </c>
      <c r="G67" s="225">
        <v>3666189.638018433</v>
      </c>
      <c r="H67" s="225">
        <v>116059.31740505324</v>
      </c>
      <c r="I67" s="225">
        <v>9712558.76562927</v>
      </c>
      <c r="J67" s="225">
        <v>88512.0867194893</v>
      </c>
      <c r="K67" s="225">
        <v>54719.24832863333</v>
      </c>
      <c r="L67" s="225">
        <v>1732.2286179858693</v>
      </c>
      <c r="M67" s="225">
        <v>144963.5636661085</v>
      </c>
    </row>
    <row r="68" spans="1:13" s="199" customFormat="1" ht="21">
      <c r="A68" s="196" t="s">
        <v>476</v>
      </c>
      <c r="B68" s="198" t="s">
        <v>73</v>
      </c>
      <c r="C68" s="198" t="s">
        <v>133</v>
      </c>
      <c r="D68" s="203">
        <v>66</v>
      </c>
      <c r="E68" s="203">
        <v>60.36</v>
      </c>
      <c r="F68" s="203">
        <v>3391587.635419972</v>
      </c>
      <c r="G68" s="203">
        <v>2678396.5636632736</v>
      </c>
      <c r="H68" s="203">
        <v>101017.20100980454</v>
      </c>
      <c r="I68" s="203">
        <v>6171001.40009305</v>
      </c>
      <c r="J68" s="203">
        <v>51387.69144575715</v>
      </c>
      <c r="K68" s="203">
        <v>40581.76611611021</v>
      </c>
      <c r="L68" s="203">
        <v>1530.5636516637053</v>
      </c>
      <c r="M68" s="203">
        <v>93500.02121353106</v>
      </c>
    </row>
    <row r="69" spans="1:13" s="199" customFormat="1" ht="21">
      <c r="A69" s="196" t="s">
        <v>476</v>
      </c>
      <c r="B69" s="224" t="s">
        <v>85</v>
      </c>
      <c r="C69" s="224" t="s">
        <v>198</v>
      </c>
      <c r="D69" s="225">
        <v>65</v>
      </c>
      <c r="E69" s="225">
        <v>62.22</v>
      </c>
      <c r="F69" s="225">
        <v>7061813.540338165</v>
      </c>
      <c r="G69" s="225">
        <v>2665618.100174672</v>
      </c>
      <c r="H69" s="225">
        <v>122442.3782651528</v>
      </c>
      <c r="I69" s="225">
        <v>9849874.01877799</v>
      </c>
      <c r="J69" s="225">
        <v>108643.28523597177</v>
      </c>
      <c r="K69" s="225">
        <v>41009.50923345649</v>
      </c>
      <c r="L69" s="225">
        <v>1883.7288963869662</v>
      </c>
      <c r="M69" s="225">
        <v>151536.52336581523</v>
      </c>
    </row>
    <row r="70" spans="1:13" s="199" customFormat="1" ht="21">
      <c r="A70" s="196" t="s">
        <v>479</v>
      </c>
      <c r="B70" s="224" t="s">
        <v>196</v>
      </c>
      <c r="C70" s="224" t="s">
        <v>211</v>
      </c>
      <c r="D70" s="225">
        <v>65</v>
      </c>
      <c r="E70" s="225">
        <v>57.97</v>
      </c>
      <c r="F70" s="225">
        <v>2917513.3651189026</v>
      </c>
      <c r="G70" s="225">
        <v>1265876.4669400956</v>
      </c>
      <c r="H70" s="225">
        <v>94570.13626907195</v>
      </c>
      <c r="I70" s="225">
        <v>4277959.96832807</v>
      </c>
      <c r="J70" s="225">
        <v>44884.821001829274</v>
      </c>
      <c r="K70" s="225">
        <v>19475.022568309163</v>
      </c>
      <c r="L70" s="225">
        <v>1454.9251733703377</v>
      </c>
      <c r="M70" s="225">
        <v>65814.76874350877</v>
      </c>
    </row>
    <row r="71" spans="1:13" s="199" customFormat="1" ht="21">
      <c r="A71" s="196" t="s">
        <v>509</v>
      </c>
      <c r="B71" s="224" t="s">
        <v>104</v>
      </c>
      <c r="C71" s="224" t="s">
        <v>499</v>
      </c>
      <c r="D71" s="225">
        <v>63</v>
      </c>
      <c r="E71" s="225">
        <v>36.75</v>
      </c>
      <c r="F71" s="225">
        <v>1836762.5358697034</v>
      </c>
      <c r="G71" s="225">
        <v>1357247.513626658</v>
      </c>
      <c r="H71" s="225">
        <v>84079.88629269028</v>
      </c>
      <c r="I71" s="225">
        <v>3278089.9357890515</v>
      </c>
      <c r="J71" s="225">
        <v>29154.96088682069</v>
      </c>
      <c r="K71" s="225">
        <v>21543.611327407267</v>
      </c>
      <c r="L71" s="225">
        <v>1334.6013697252426</v>
      </c>
      <c r="M71" s="225">
        <v>52033.1735839532</v>
      </c>
    </row>
    <row r="72" spans="1:13" s="199" customFormat="1" ht="21">
      <c r="A72" s="196" t="s">
        <v>253</v>
      </c>
      <c r="B72" s="198" t="s">
        <v>104</v>
      </c>
      <c r="C72" s="198" t="s">
        <v>500</v>
      </c>
      <c r="D72" s="203">
        <v>61</v>
      </c>
      <c r="E72" s="203">
        <v>46.69</v>
      </c>
      <c r="F72" s="203">
        <v>2333563.069381128</v>
      </c>
      <c r="G72" s="203">
        <v>1724350.6506456775</v>
      </c>
      <c r="H72" s="203">
        <v>106821.4936328084</v>
      </c>
      <c r="I72" s="203">
        <v>4164735.213659614</v>
      </c>
      <c r="J72" s="203">
        <v>38255.132284936524</v>
      </c>
      <c r="K72" s="203">
        <v>28268.04345320783</v>
      </c>
      <c r="L72" s="203">
        <v>1751.1720267673509</v>
      </c>
      <c r="M72" s="203">
        <v>68274.3477649117</v>
      </c>
    </row>
    <row r="73" spans="1:13" s="199" customFormat="1" ht="21">
      <c r="A73" s="196" t="s">
        <v>253</v>
      </c>
      <c r="B73" s="224" t="s">
        <v>104</v>
      </c>
      <c r="C73" s="224" t="s">
        <v>502</v>
      </c>
      <c r="D73" s="225">
        <v>61</v>
      </c>
      <c r="E73" s="225">
        <v>44.67</v>
      </c>
      <c r="F73" s="225">
        <v>2232603.6048244806</v>
      </c>
      <c r="G73" s="225">
        <v>1649748.2022776273</v>
      </c>
      <c r="H73" s="225">
        <v>102199.95974678843</v>
      </c>
      <c r="I73" s="225">
        <v>3984551.766848896</v>
      </c>
      <c r="J73" s="225">
        <v>36600.05909548329</v>
      </c>
      <c r="K73" s="225">
        <v>27045.052496354547</v>
      </c>
      <c r="L73" s="225">
        <v>1675.4091761768595</v>
      </c>
      <c r="M73" s="225">
        <v>65320.52076801469</v>
      </c>
    </row>
    <row r="74" spans="1:13" s="199" customFormat="1" ht="21">
      <c r="A74" s="196" t="s">
        <v>476</v>
      </c>
      <c r="B74" s="224" t="s">
        <v>85</v>
      </c>
      <c r="C74" s="224" t="s">
        <v>173</v>
      </c>
      <c r="D74" s="225">
        <v>60</v>
      </c>
      <c r="E74" s="225">
        <v>59</v>
      </c>
      <c r="F74" s="225">
        <v>6696351.637414846</v>
      </c>
      <c r="G74" s="225">
        <v>2527667.436681222</v>
      </c>
      <c r="H74" s="225">
        <v>116105.75888209604</v>
      </c>
      <c r="I74" s="225">
        <v>9340124.832978165</v>
      </c>
      <c r="J74" s="225">
        <v>111605.86062358077</v>
      </c>
      <c r="K74" s="225">
        <v>42127.7906113537</v>
      </c>
      <c r="L74" s="225">
        <v>1935.0959813682673</v>
      </c>
      <c r="M74" s="225">
        <v>155668.74721630273</v>
      </c>
    </row>
    <row r="75" spans="1:13" s="199" customFormat="1" ht="21">
      <c r="A75" s="196" t="s">
        <v>253</v>
      </c>
      <c r="B75" s="224" t="s">
        <v>104</v>
      </c>
      <c r="C75" s="224" t="s">
        <v>501</v>
      </c>
      <c r="D75" s="225">
        <v>58</v>
      </c>
      <c r="E75" s="225">
        <v>45.72</v>
      </c>
      <c r="F75" s="225">
        <v>2285082.5344207576</v>
      </c>
      <c r="G75" s="225">
        <v>1688526.7026669602</v>
      </c>
      <c r="H75" s="225">
        <v>104602.24221229386</v>
      </c>
      <c r="I75" s="225">
        <v>4078211.4793000114</v>
      </c>
      <c r="J75" s="225">
        <v>39397.97473139237</v>
      </c>
      <c r="K75" s="225">
        <v>29112.5293563269</v>
      </c>
      <c r="L75" s="225">
        <v>1803.4869346947216</v>
      </c>
      <c r="M75" s="225">
        <v>70313.991022414</v>
      </c>
    </row>
    <row r="76" spans="1:13" s="199" customFormat="1" ht="21">
      <c r="A76" s="196" t="s">
        <v>474</v>
      </c>
      <c r="B76" s="224" t="s">
        <v>61</v>
      </c>
      <c r="C76" s="224" t="s">
        <v>60</v>
      </c>
      <c r="D76" s="225">
        <v>57</v>
      </c>
      <c r="E76" s="225">
        <v>75.42</v>
      </c>
      <c r="F76" s="225">
        <v>5452994.966045194</v>
      </c>
      <c r="G76" s="225">
        <v>2091439.8724275695</v>
      </c>
      <c r="H76" s="225">
        <v>140682.2842402777</v>
      </c>
      <c r="I76" s="225">
        <v>7685117.1227130415</v>
      </c>
      <c r="J76" s="225">
        <v>95666.57835167008</v>
      </c>
      <c r="K76" s="225">
        <v>36691.92758644859</v>
      </c>
      <c r="L76" s="225">
        <v>2468.110249829433</v>
      </c>
      <c r="M76" s="225">
        <v>134826.6161879481</v>
      </c>
    </row>
    <row r="77" spans="1:13" s="199" customFormat="1" ht="21">
      <c r="A77" s="196" t="s">
        <v>41</v>
      </c>
      <c r="B77" s="198" t="s">
        <v>43</v>
      </c>
      <c r="C77" s="198" t="s">
        <v>492</v>
      </c>
      <c r="D77" s="203">
        <v>56</v>
      </c>
      <c r="E77" s="203">
        <v>51.58</v>
      </c>
      <c r="F77" s="203">
        <v>4524262.384458521</v>
      </c>
      <c r="G77" s="203">
        <v>2796954.0207058825</v>
      </c>
      <c r="H77" s="203">
        <v>88542.22488808447</v>
      </c>
      <c r="I77" s="203">
        <v>7409758.630052488</v>
      </c>
      <c r="J77" s="203">
        <v>80790.3997224736</v>
      </c>
      <c r="K77" s="203">
        <v>49945.60751260504</v>
      </c>
      <c r="L77" s="203">
        <v>1581.111158715794</v>
      </c>
      <c r="M77" s="203">
        <v>132317.11839379443</v>
      </c>
    </row>
    <row r="78" spans="1:13" s="199" customFormat="1" ht="21">
      <c r="A78" s="196" t="s">
        <v>41</v>
      </c>
      <c r="B78" s="198" t="s">
        <v>43</v>
      </c>
      <c r="C78" s="198" t="s">
        <v>491</v>
      </c>
      <c r="D78" s="203">
        <v>52</v>
      </c>
      <c r="E78" s="203">
        <v>41.06</v>
      </c>
      <c r="F78" s="203">
        <v>3601516.3533514333</v>
      </c>
      <c r="G78" s="203">
        <v>2226501.2037647064</v>
      </c>
      <c r="H78" s="203">
        <v>70483.59352277528</v>
      </c>
      <c r="I78" s="203">
        <v>5898501.150638915</v>
      </c>
      <c r="J78" s="203">
        <v>69259.92987214295</v>
      </c>
      <c r="K78" s="203">
        <v>42817.330841628966</v>
      </c>
      <c r="L78" s="203">
        <v>1355.4537215918322</v>
      </c>
      <c r="M78" s="203">
        <v>113432.71443536376</v>
      </c>
    </row>
    <row r="79" spans="1:13" s="199" customFormat="1" ht="21">
      <c r="A79" s="196" t="s">
        <v>476</v>
      </c>
      <c r="B79" s="224" t="s">
        <v>85</v>
      </c>
      <c r="C79" s="224" t="s">
        <v>511</v>
      </c>
      <c r="D79" s="225">
        <v>50</v>
      </c>
      <c r="E79" s="225">
        <v>44.39</v>
      </c>
      <c r="F79" s="225">
        <v>5038153.376014322</v>
      </c>
      <c r="G79" s="225">
        <v>1901748.4324454146</v>
      </c>
      <c r="H79" s="225">
        <v>87354.82435213971</v>
      </c>
      <c r="I79" s="225">
        <v>7027256.632811876</v>
      </c>
      <c r="J79" s="225">
        <v>100763.06752028644</v>
      </c>
      <c r="K79" s="225">
        <v>38034.96864890829</v>
      </c>
      <c r="L79" s="225">
        <v>1747.0964870427943</v>
      </c>
      <c r="M79" s="225">
        <v>140545.13265623752</v>
      </c>
    </row>
    <row r="80" spans="1:13" s="199" customFormat="1" ht="21">
      <c r="A80" s="196" t="s">
        <v>52</v>
      </c>
      <c r="B80" s="224" t="s">
        <v>102</v>
      </c>
      <c r="C80" s="224" t="s">
        <v>149</v>
      </c>
      <c r="D80" s="225">
        <v>49</v>
      </c>
      <c r="E80" s="225">
        <v>45.81</v>
      </c>
      <c r="F80" s="225">
        <v>4589117.854935892</v>
      </c>
      <c r="G80" s="225">
        <v>3478791.2820922867</v>
      </c>
      <c r="H80" s="225">
        <v>66677.07138734036</v>
      </c>
      <c r="I80" s="225">
        <v>8134586.2084155185</v>
      </c>
      <c r="J80" s="225">
        <v>93655.4664272631</v>
      </c>
      <c r="K80" s="225">
        <v>70995.740450863</v>
      </c>
      <c r="L80" s="225">
        <v>1360.7565589253134</v>
      </c>
      <c r="M80" s="225">
        <v>166011.96343705142</v>
      </c>
    </row>
    <row r="81" spans="1:13" ht="21">
      <c r="A81" s="196" t="s">
        <v>476</v>
      </c>
      <c r="B81" s="224" t="s">
        <v>85</v>
      </c>
      <c r="C81" s="224" t="s">
        <v>179</v>
      </c>
      <c r="D81" s="225">
        <v>49</v>
      </c>
      <c r="E81" s="225">
        <v>40.5</v>
      </c>
      <c r="F81" s="225">
        <v>4596648.157886462</v>
      </c>
      <c r="G81" s="225">
        <v>1735093.7489082967</v>
      </c>
      <c r="H81" s="225">
        <v>79699.71584279474</v>
      </c>
      <c r="I81" s="225">
        <v>6411441.622637553</v>
      </c>
      <c r="J81" s="225">
        <v>93809.14607931556</v>
      </c>
      <c r="K81" s="225">
        <v>35410.07650833258</v>
      </c>
      <c r="L81" s="225">
        <v>1626.52481311826</v>
      </c>
      <c r="M81" s="225">
        <v>130845.7474007664</v>
      </c>
    </row>
    <row r="82" spans="1:13" s="199" customFormat="1" ht="21">
      <c r="A82" s="196" t="s">
        <v>103</v>
      </c>
      <c r="B82" s="224" t="s">
        <v>91</v>
      </c>
      <c r="C82" s="224" t="s">
        <v>99</v>
      </c>
      <c r="D82" s="225">
        <v>44</v>
      </c>
      <c r="E82" s="225">
        <v>30.33</v>
      </c>
      <c r="F82" s="225">
        <v>1236541.4504601285</v>
      </c>
      <c r="G82" s="225">
        <v>1190028.3141662986</v>
      </c>
      <c r="H82" s="225">
        <v>52736.256740462864</v>
      </c>
      <c r="I82" s="225">
        <v>2479306.02136689</v>
      </c>
      <c r="J82" s="225">
        <v>28103.21478318474</v>
      </c>
      <c r="K82" s="225">
        <v>27046.09804923406</v>
      </c>
      <c r="L82" s="225">
        <v>1198.551289555974</v>
      </c>
      <c r="M82" s="225">
        <v>56347.86412197477</v>
      </c>
    </row>
    <row r="83" spans="1:13" s="199" customFormat="1" ht="21">
      <c r="A83" s="196" t="s">
        <v>480</v>
      </c>
      <c r="B83" s="224" t="s">
        <v>43</v>
      </c>
      <c r="C83" s="224" t="s">
        <v>163</v>
      </c>
      <c r="D83" s="225">
        <v>44</v>
      </c>
      <c r="E83" s="225">
        <v>35.94</v>
      </c>
      <c r="F83" s="225">
        <v>3152423.229977753</v>
      </c>
      <c r="G83" s="225">
        <v>1948866.3746543776</v>
      </c>
      <c r="H83" s="225">
        <v>61694.59943111394</v>
      </c>
      <c r="I83" s="225">
        <v>5162984.204063245</v>
      </c>
      <c r="J83" s="225">
        <v>71645.98249949439</v>
      </c>
      <c r="K83" s="225">
        <v>44292.41760578131</v>
      </c>
      <c r="L83" s="225">
        <v>1402.1499870707712</v>
      </c>
      <c r="M83" s="225">
        <v>117340.55009234649</v>
      </c>
    </row>
    <row r="84" spans="1:13" s="199" customFormat="1" ht="21">
      <c r="A84" s="196" t="s">
        <v>478</v>
      </c>
      <c r="B84" s="198" t="s">
        <v>91</v>
      </c>
      <c r="C84" s="198" t="s">
        <v>219</v>
      </c>
      <c r="D84" s="203">
        <v>40</v>
      </c>
      <c r="E84" s="203">
        <v>27.67</v>
      </c>
      <c r="F84" s="203">
        <v>1128094.3598510474</v>
      </c>
      <c r="G84" s="203">
        <v>1085660.5</v>
      </c>
      <c r="H84" s="203">
        <v>48111.1843893528</v>
      </c>
      <c r="I84" s="203">
        <v>2261866.0442404</v>
      </c>
      <c r="J84" s="203">
        <v>28202.358996276183</v>
      </c>
      <c r="K84" s="203">
        <v>27141.5125</v>
      </c>
      <c r="L84" s="203">
        <v>1202.77960973382</v>
      </c>
      <c r="M84" s="203">
        <v>56546.65110601001</v>
      </c>
    </row>
    <row r="85" spans="1:13" s="199" customFormat="1" ht="21">
      <c r="A85" s="196" t="s">
        <v>41</v>
      </c>
      <c r="B85" s="198" t="s">
        <v>43</v>
      </c>
      <c r="C85" s="198" t="s">
        <v>490</v>
      </c>
      <c r="D85" s="203">
        <v>35</v>
      </c>
      <c r="E85" s="203">
        <v>33.36</v>
      </c>
      <c r="F85" s="203">
        <v>2926122.3952217195</v>
      </c>
      <c r="G85" s="203">
        <v>1808964.446117647</v>
      </c>
      <c r="H85" s="203">
        <v>57265.773987330314</v>
      </c>
      <c r="I85" s="203">
        <v>4792352.615326697</v>
      </c>
      <c r="J85" s="203">
        <v>83603.49700633484</v>
      </c>
      <c r="K85" s="203">
        <v>51684.6984605042</v>
      </c>
      <c r="L85" s="203">
        <v>1636.1649710665804</v>
      </c>
      <c r="M85" s="203">
        <v>136924.36043790562</v>
      </c>
    </row>
    <row r="86" spans="1:13" s="199" customFormat="1" ht="21">
      <c r="A86" s="196" t="s">
        <v>480</v>
      </c>
      <c r="B86" s="198" t="s">
        <v>43</v>
      </c>
      <c r="C86" s="198" t="s">
        <v>216</v>
      </c>
      <c r="D86" s="203">
        <v>33</v>
      </c>
      <c r="E86" s="203">
        <v>22.06</v>
      </c>
      <c r="F86" s="203">
        <v>1934959.8345383757</v>
      </c>
      <c r="G86" s="203">
        <v>1196215.6990783408</v>
      </c>
      <c r="H86" s="203">
        <v>37868.19319561417</v>
      </c>
      <c r="I86" s="203">
        <v>3169043.7268123305</v>
      </c>
      <c r="J86" s="203">
        <v>58635.146501162904</v>
      </c>
      <c r="K86" s="203">
        <v>36248.96057813154</v>
      </c>
      <c r="L86" s="203">
        <v>1147.5210059277022</v>
      </c>
      <c r="M86" s="203">
        <v>96031.62808522215</v>
      </c>
    </row>
    <row r="87" spans="1:13" s="199" customFormat="1" ht="21">
      <c r="A87" s="196" t="s">
        <v>41</v>
      </c>
      <c r="B87" s="198" t="s">
        <v>43</v>
      </c>
      <c r="C87" s="198" t="s">
        <v>489</v>
      </c>
      <c r="D87" s="203">
        <v>31</v>
      </c>
      <c r="E87" s="203">
        <v>29.5</v>
      </c>
      <c r="F87" s="203">
        <v>2587548.2811463047</v>
      </c>
      <c r="G87" s="203">
        <v>1599653.811764706</v>
      </c>
      <c r="H87" s="203">
        <v>50639.69822021116</v>
      </c>
      <c r="I87" s="203">
        <v>4237841.791131222</v>
      </c>
      <c r="J87" s="203">
        <v>83469.29939181628</v>
      </c>
      <c r="K87" s="203">
        <v>51601.73586337761</v>
      </c>
      <c r="L87" s="203">
        <v>1633.5386522648762</v>
      </c>
      <c r="M87" s="203">
        <v>136704.57390745875</v>
      </c>
    </row>
    <row r="88" spans="1:13" s="199" customFormat="1" ht="21">
      <c r="A88" s="196" t="s">
        <v>474</v>
      </c>
      <c r="B88" s="224" t="s">
        <v>61</v>
      </c>
      <c r="C88" s="224" t="s">
        <v>512</v>
      </c>
      <c r="D88" s="225">
        <v>31</v>
      </c>
      <c r="E88" s="225">
        <v>26.39</v>
      </c>
      <c r="F88" s="225">
        <v>1908042.1261460178</v>
      </c>
      <c r="G88" s="225">
        <v>731809.8413333804</v>
      </c>
      <c r="H88" s="225">
        <v>49225.74225803405</v>
      </c>
      <c r="I88" s="225">
        <v>2689077.7097374327</v>
      </c>
      <c r="J88" s="225">
        <v>61549.74600471025</v>
      </c>
      <c r="K88" s="225">
        <v>23606.76907527034</v>
      </c>
      <c r="L88" s="225">
        <v>1587.9271696140015</v>
      </c>
      <c r="M88" s="225">
        <v>86744.44224959459</v>
      </c>
    </row>
    <row r="89" spans="1:13" s="199" customFormat="1" ht="21">
      <c r="A89" s="196" t="s">
        <v>476</v>
      </c>
      <c r="B89" s="224" t="s">
        <v>73</v>
      </c>
      <c r="C89" s="224" t="s">
        <v>178</v>
      </c>
      <c r="D89" s="225">
        <v>27</v>
      </c>
      <c r="E89" s="225">
        <v>15.78</v>
      </c>
      <c r="F89" s="225">
        <v>886667.5428583026</v>
      </c>
      <c r="G89" s="225">
        <v>700216.9942777742</v>
      </c>
      <c r="H89" s="225">
        <v>26409.06944888528</v>
      </c>
      <c r="I89" s="225">
        <v>1613293.6065849622</v>
      </c>
      <c r="J89" s="225">
        <v>32839.53862438158</v>
      </c>
      <c r="K89" s="225">
        <v>25933.962751028677</v>
      </c>
      <c r="L89" s="225">
        <v>978.1136832920473</v>
      </c>
      <c r="M89" s="225">
        <v>59751.6150587023</v>
      </c>
    </row>
    <row r="90" spans="1:13" s="199" customFormat="1" ht="21">
      <c r="A90" s="196" t="s">
        <v>476</v>
      </c>
      <c r="B90" s="198" t="s">
        <v>73</v>
      </c>
      <c r="C90" s="198" t="s">
        <v>214</v>
      </c>
      <c r="D90" s="203">
        <v>25</v>
      </c>
      <c r="E90" s="203">
        <v>21.22</v>
      </c>
      <c r="F90" s="203">
        <v>1192337.4689133826</v>
      </c>
      <c r="G90" s="203">
        <v>941609.9251314556</v>
      </c>
      <c r="H90" s="203">
        <v>35513.336736713914</v>
      </c>
      <c r="I90" s="203">
        <v>2169460.7307815524</v>
      </c>
      <c r="J90" s="203">
        <v>47693.49875653531</v>
      </c>
      <c r="K90" s="203">
        <v>37664.39700525822</v>
      </c>
      <c r="L90" s="203">
        <v>1420.5334694685566</v>
      </c>
      <c r="M90" s="203">
        <v>86778.4292312621</v>
      </c>
    </row>
    <row r="91" spans="1:13" s="199" customFormat="1" ht="21">
      <c r="A91" s="196" t="s">
        <v>483</v>
      </c>
      <c r="B91" s="198" t="s">
        <v>115</v>
      </c>
      <c r="C91" s="198" t="s">
        <v>218</v>
      </c>
      <c r="D91" s="203">
        <v>22</v>
      </c>
      <c r="E91" s="203">
        <v>17.28</v>
      </c>
      <c r="F91" s="203">
        <v>555794.4871557602</v>
      </c>
      <c r="G91" s="203">
        <v>478865.3762852981</v>
      </c>
      <c r="H91" s="203">
        <v>28461.92404824894</v>
      </c>
      <c r="I91" s="203">
        <v>1063121.787489307</v>
      </c>
      <c r="J91" s="203">
        <v>25263.385779807282</v>
      </c>
      <c r="K91" s="203">
        <v>21766.608012968096</v>
      </c>
      <c r="L91" s="203">
        <v>1293.7238203749519</v>
      </c>
      <c r="M91" s="203">
        <v>48323.71761315033</v>
      </c>
    </row>
    <row r="92" spans="1:13" s="199" customFormat="1" ht="21">
      <c r="A92" s="196" t="s">
        <v>476</v>
      </c>
      <c r="B92" s="224" t="s">
        <v>73</v>
      </c>
      <c r="C92" s="224" t="s">
        <v>457</v>
      </c>
      <c r="D92" s="225">
        <v>21</v>
      </c>
      <c r="E92" s="225">
        <v>11.83</v>
      </c>
      <c r="F92" s="225">
        <v>664719.7105205145</v>
      </c>
      <c r="G92" s="225">
        <v>524940.877205708</v>
      </c>
      <c r="H92" s="225">
        <v>19798.434193936177</v>
      </c>
      <c r="I92" s="225">
        <v>1209459.0219201585</v>
      </c>
      <c r="J92" s="225">
        <v>31653.31954859593</v>
      </c>
      <c r="K92" s="225">
        <v>24997.184628843235</v>
      </c>
      <c r="L92" s="225">
        <v>942.7825806636274</v>
      </c>
      <c r="M92" s="225">
        <v>57593.28675810279</v>
      </c>
    </row>
    <row r="93" spans="1:13" ht="21">
      <c r="A93" s="196" t="s">
        <v>48</v>
      </c>
      <c r="B93" s="224" t="s">
        <v>55</v>
      </c>
      <c r="C93" s="224" t="s">
        <v>454</v>
      </c>
      <c r="D93" s="225">
        <v>20</v>
      </c>
      <c r="E93" s="225">
        <v>11.67</v>
      </c>
      <c r="F93" s="225">
        <v>589465.9366310573</v>
      </c>
      <c r="G93" s="225">
        <v>325756.8996062551</v>
      </c>
      <c r="H93" s="225">
        <v>15430.51244239017</v>
      </c>
      <c r="I93" s="225">
        <v>930653.3486797026</v>
      </c>
      <c r="J93" s="225">
        <v>29473.296831552863</v>
      </c>
      <c r="K93" s="225">
        <v>16287.844980312755</v>
      </c>
      <c r="L93" s="225">
        <v>771.5256221195085</v>
      </c>
      <c r="M93" s="225">
        <v>46532.66743398512</v>
      </c>
    </row>
    <row r="94" spans="1:13" ht="21">
      <c r="A94" s="196" t="s">
        <v>476</v>
      </c>
      <c r="B94" s="224" t="s">
        <v>69</v>
      </c>
      <c r="C94" s="224" t="s">
        <v>471</v>
      </c>
      <c r="D94" s="225">
        <v>20</v>
      </c>
      <c r="E94" s="225">
        <v>15.72</v>
      </c>
      <c r="F94" s="225">
        <v>1368947.7788402562</v>
      </c>
      <c r="G94" s="225">
        <v>966509.4154889814</v>
      </c>
      <c r="H94" s="225">
        <v>33893.1836660912</v>
      </c>
      <c r="I94" s="225">
        <v>2369350.377995329</v>
      </c>
      <c r="J94" s="225">
        <v>68447.38894201281</v>
      </c>
      <c r="K94" s="225">
        <v>48325.47077444907</v>
      </c>
      <c r="L94" s="225">
        <v>1694.65918330456</v>
      </c>
      <c r="M94" s="225">
        <v>118467.51889976644</v>
      </c>
    </row>
    <row r="95" spans="1:13" s="199" customFormat="1" ht="21">
      <c r="A95" s="196" t="s">
        <v>48</v>
      </c>
      <c r="B95" s="224" t="s">
        <v>55</v>
      </c>
      <c r="C95" s="224" t="s">
        <v>234</v>
      </c>
      <c r="D95" s="225">
        <v>19</v>
      </c>
      <c r="E95" s="225">
        <v>16.25</v>
      </c>
      <c r="F95" s="225">
        <v>820807.3239292786</v>
      </c>
      <c r="G95" s="225">
        <v>453603.2235305609</v>
      </c>
      <c r="H95" s="225">
        <v>21486.360513182546</v>
      </c>
      <c r="I95" s="225">
        <v>1295896.9079730222</v>
      </c>
      <c r="J95" s="225">
        <v>43200.385469962035</v>
      </c>
      <c r="K95" s="225">
        <v>23873.85387002952</v>
      </c>
      <c r="L95" s="225">
        <v>1130.8610796411867</v>
      </c>
      <c r="M95" s="225">
        <v>68205.10041963274</v>
      </c>
    </row>
    <row r="96" spans="1:13" s="199" customFormat="1" ht="21">
      <c r="A96" s="196" t="s">
        <v>479</v>
      </c>
      <c r="B96" s="224" t="s">
        <v>196</v>
      </c>
      <c r="C96" s="224" t="s">
        <v>199</v>
      </c>
      <c r="D96" s="225">
        <v>17</v>
      </c>
      <c r="E96" s="225">
        <v>17.83</v>
      </c>
      <c r="F96" s="225">
        <v>897347.9955161297</v>
      </c>
      <c r="G96" s="225">
        <v>389349.2738578904</v>
      </c>
      <c r="H96" s="225">
        <v>29087.209413102515</v>
      </c>
      <c r="I96" s="225">
        <v>1315784.4787871225</v>
      </c>
      <c r="J96" s="225">
        <v>52785.17620683116</v>
      </c>
      <c r="K96" s="225">
        <v>22902.898462228848</v>
      </c>
      <c r="L96" s="225">
        <v>1711.012318417795</v>
      </c>
      <c r="M96" s="225">
        <v>77399.0869874778</v>
      </c>
    </row>
    <row r="97" spans="1:13" s="199" customFormat="1" ht="21">
      <c r="A97" s="196" t="s">
        <v>476</v>
      </c>
      <c r="B97" s="224" t="s">
        <v>76</v>
      </c>
      <c r="C97" s="224" t="s">
        <v>172</v>
      </c>
      <c r="D97" s="225">
        <v>15</v>
      </c>
      <c r="E97" s="225">
        <v>12.53</v>
      </c>
      <c r="F97" s="225">
        <v>1275905.918795682</v>
      </c>
      <c r="G97" s="225">
        <v>630649.1184991546</v>
      </c>
      <c r="H97" s="225">
        <v>16567.636582130315</v>
      </c>
      <c r="I97" s="225">
        <v>1923122.673876967</v>
      </c>
      <c r="J97" s="225">
        <v>85060.3945863788</v>
      </c>
      <c r="K97" s="225">
        <v>42043.27456661031</v>
      </c>
      <c r="L97" s="225">
        <v>1104.5091054753543</v>
      </c>
      <c r="M97" s="225">
        <v>128208.17825846447</v>
      </c>
    </row>
    <row r="98" spans="1:13" s="199" customFormat="1" ht="21">
      <c r="A98" s="196" t="s">
        <v>473</v>
      </c>
      <c r="B98" s="198" t="s">
        <v>102</v>
      </c>
      <c r="C98" s="198" t="s">
        <v>506</v>
      </c>
      <c r="D98" s="203">
        <v>14</v>
      </c>
      <c r="E98" s="203">
        <v>5</v>
      </c>
      <c r="F98" s="203">
        <v>500886.0352473141</v>
      </c>
      <c r="G98" s="203">
        <v>379697.80420129735</v>
      </c>
      <c r="H98" s="203">
        <v>7277.5672765051695</v>
      </c>
      <c r="I98" s="203">
        <v>887861.4067251167</v>
      </c>
      <c r="J98" s="203">
        <v>35777.57394623672</v>
      </c>
      <c r="K98" s="203">
        <v>27121.271728664095</v>
      </c>
      <c r="L98" s="203">
        <v>519.8262340360835</v>
      </c>
      <c r="M98" s="203">
        <v>63418.6719089369</v>
      </c>
    </row>
    <row r="99" spans="1:13" ht="21">
      <c r="A99" s="196" t="s">
        <v>475</v>
      </c>
      <c r="B99" s="198" t="s">
        <v>69</v>
      </c>
      <c r="C99" s="198" t="s">
        <v>70</v>
      </c>
      <c r="D99" s="203">
        <v>13</v>
      </c>
      <c r="E99" s="203">
        <v>9.33</v>
      </c>
      <c r="F99" s="203">
        <v>812486.1817162588</v>
      </c>
      <c r="G99" s="203">
        <v>573634.4049944145</v>
      </c>
      <c r="H99" s="203">
        <v>20115.992595714433</v>
      </c>
      <c r="I99" s="203">
        <v>1406236.5793063878</v>
      </c>
      <c r="J99" s="203">
        <v>62498.93705509683</v>
      </c>
      <c r="K99" s="203">
        <v>44125.72346110881</v>
      </c>
      <c r="L99" s="203">
        <v>1547.384045824187</v>
      </c>
      <c r="M99" s="203">
        <v>108172.04456202984</v>
      </c>
    </row>
    <row r="100" spans="1:13" s="199" customFormat="1" ht="21">
      <c r="A100" s="196" t="s">
        <v>48</v>
      </c>
      <c r="B100" s="224" t="s">
        <v>55</v>
      </c>
      <c r="C100" s="224" t="s">
        <v>170</v>
      </c>
      <c r="D100" s="225">
        <v>12</v>
      </c>
      <c r="E100" s="225">
        <v>7.33</v>
      </c>
      <c r="F100" s="225">
        <v>370247.2421170223</v>
      </c>
      <c r="G100" s="225">
        <v>204609.94636793918</v>
      </c>
      <c r="H100" s="225">
        <v>9692.00138840788</v>
      </c>
      <c r="I100" s="225">
        <v>584549.1898733693</v>
      </c>
      <c r="J100" s="225">
        <v>30853.93684308519</v>
      </c>
      <c r="K100" s="225">
        <v>17050.82886399493</v>
      </c>
      <c r="L100" s="225">
        <v>807.6667823673233</v>
      </c>
      <c r="M100" s="225">
        <v>48712.43248944744</v>
      </c>
    </row>
    <row r="101" spans="1:13" ht="21">
      <c r="A101" s="196" t="s">
        <v>41</v>
      </c>
      <c r="B101" s="198" t="s">
        <v>43</v>
      </c>
      <c r="C101" s="198" t="s">
        <v>488</v>
      </c>
      <c r="D101" s="203">
        <v>9</v>
      </c>
      <c r="E101" s="203">
        <v>10.25</v>
      </c>
      <c r="F101" s="203">
        <v>899063.3858220212</v>
      </c>
      <c r="G101" s="203">
        <v>555811.9176470588</v>
      </c>
      <c r="H101" s="203">
        <v>17595.149381598796</v>
      </c>
      <c r="I101" s="203">
        <v>1472470.4528506787</v>
      </c>
      <c r="J101" s="203">
        <v>99895.93175800235</v>
      </c>
      <c r="K101" s="203">
        <v>61756.87973856209</v>
      </c>
      <c r="L101" s="203">
        <v>1955.0165979554217</v>
      </c>
      <c r="M101" s="203">
        <v>163607.82809451988</v>
      </c>
    </row>
    <row r="102" spans="1:13" s="199" customFormat="1" ht="21">
      <c r="A102" s="196" t="s">
        <v>476</v>
      </c>
      <c r="B102" s="198" t="s">
        <v>76</v>
      </c>
      <c r="C102" s="198" t="s">
        <v>78</v>
      </c>
      <c r="D102" s="203">
        <v>9</v>
      </c>
      <c r="E102" s="203">
        <v>7.69</v>
      </c>
      <c r="F102" s="203">
        <v>783057.9820860971</v>
      </c>
      <c r="G102" s="203">
        <v>387046.4262776137</v>
      </c>
      <c r="H102" s="203">
        <v>10168.006808985008</v>
      </c>
      <c r="I102" s="203">
        <v>1180272.4151726959</v>
      </c>
      <c r="J102" s="203">
        <v>87006.44245401079</v>
      </c>
      <c r="K102" s="203">
        <v>43005.15847529041</v>
      </c>
      <c r="L102" s="203">
        <v>1129.7785343316675</v>
      </c>
      <c r="M102" s="203">
        <v>131141.37946363288</v>
      </c>
    </row>
    <row r="103" spans="1:13" s="199" customFormat="1" ht="21">
      <c r="A103" s="196" t="s">
        <v>476</v>
      </c>
      <c r="B103" s="224" t="s">
        <v>76</v>
      </c>
      <c r="C103" s="224" t="s">
        <v>79</v>
      </c>
      <c r="D103" s="225">
        <v>9</v>
      </c>
      <c r="E103" s="225">
        <v>6.03</v>
      </c>
      <c r="F103" s="225">
        <v>614023.3591650409</v>
      </c>
      <c r="G103" s="225">
        <v>303496.7425817959</v>
      </c>
      <c r="H103" s="225">
        <v>7973.092465302939</v>
      </c>
      <c r="I103" s="225">
        <v>925493.1942121397</v>
      </c>
      <c r="J103" s="225">
        <v>68224.81768500454</v>
      </c>
      <c r="K103" s="225">
        <v>33721.86028686621</v>
      </c>
      <c r="L103" s="225">
        <v>885.8991628114377</v>
      </c>
      <c r="M103" s="225">
        <v>102832.57713468219</v>
      </c>
    </row>
    <row r="104" spans="1:13" s="199" customFormat="1" ht="21">
      <c r="A104" s="196" t="s">
        <v>476</v>
      </c>
      <c r="B104" s="224" t="s">
        <v>85</v>
      </c>
      <c r="C104" s="224" t="s">
        <v>176</v>
      </c>
      <c r="D104" s="225">
        <v>9</v>
      </c>
      <c r="E104" s="225">
        <v>8.89</v>
      </c>
      <c r="F104" s="225">
        <v>1008992.6450274234</v>
      </c>
      <c r="G104" s="225">
        <v>380863.7883406113</v>
      </c>
      <c r="H104" s="225">
        <v>17494.57960104803</v>
      </c>
      <c r="I104" s="225">
        <v>1407351.0129690827</v>
      </c>
      <c r="J104" s="225">
        <v>112110.29389193593</v>
      </c>
      <c r="K104" s="225">
        <v>42318.19870451237</v>
      </c>
      <c r="L104" s="225">
        <v>1943.8421778942256</v>
      </c>
      <c r="M104" s="225">
        <v>156372.3347743425</v>
      </c>
    </row>
    <row r="105" spans="1:13" s="199" customFormat="1" ht="21">
      <c r="A105" s="196" t="s">
        <v>473</v>
      </c>
      <c r="B105" s="224" t="s">
        <v>61</v>
      </c>
      <c r="C105" s="224" t="s">
        <v>504</v>
      </c>
      <c r="D105" s="225">
        <v>8</v>
      </c>
      <c r="E105" s="225">
        <v>3.78</v>
      </c>
      <c r="F105" s="225">
        <v>273300.4636920025</v>
      </c>
      <c r="G105" s="225">
        <v>104821.56878515265</v>
      </c>
      <c r="H105" s="225">
        <v>7050.902074095063</v>
      </c>
      <c r="I105" s="225">
        <v>385172.9345512502</v>
      </c>
      <c r="J105" s="225">
        <v>34162.557961500315</v>
      </c>
      <c r="K105" s="225">
        <v>13102.69609814408</v>
      </c>
      <c r="L105" s="225">
        <v>881.3627592618828</v>
      </c>
      <c r="M105" s="225">
        <v>48146.6168189062</v>
      </c>
    </row>
    <row r="106" spans="1:13" s="199" customFormat="1" ht="21">
      <c r="A106" s="196" t="s">
        <v>48</v>
      </c>
      <c r="B106" s="224" t="s">
        <v>55</v>
      </c>
      <c r="C106" s="224" t="s">
        <v>57</v>
      </c>
      <c r="D106" s="225">
        <v>7</v>
      </c>
      <c r="E106" s="225">
        <v>6.44</v>
      </c>
      <c r="F106" s="225">
        <v>325292.2563756649</v>
      </c>
      <c r="G106" s="225">
        <v>179766.4467407269</v>
      </c>
      <c r="H106" s="225">
        <v>8515.209951070497</v>
      </c>
      <c r="I106" s="225">
        <v>513573.9130674623</v>
      </c>
      <c r="J106" s="225">
        <v>46470.3223393807</v>
      </c>
      <c r="K106" s="225">
        <v>25680.920962960987</v>
      </c>
      <c r="L106" s="225">
        <v>1216.4585644386425</v>
      </c>
      <c r="M106" s="225">
        <v>73367.70186678032</v>
      </c>
    </row>
    <row r="107" spans="1:13" s="199" customFormat="1" ht="21">
      <c r="A107" s="196" t="s">
        <v>476</v>
      </c>
      <c r="B107" s="224" t="s">
        <v>73</v>
      </c>
      <c r="C107" s="224" t="s">
        <v>456</v>
      </c>
      <c r="D107" s="225">
        <v>6</v>
      </c>
      <c r="E107" s="225">
        <v>3.33</v>
      </c>
      <c r="F107" s="225">
        <v>187110.4510594517</v>
      </c>
      <c r="G107" s="225">
        <v>147764.4227468307</v>
      </c>
      <c r="H107" s="225">
        <v>5573.0165567039285</v>
      </c>
      <c r="I107" s="225">
        <v>340447.89036298636</v>
      </c>
      <c r="J107" s="225">
        <v>31185.075176575283</v>
      </c>
      <c r="K107" s="225">
        <v>24627.40379113845</v>
      </c>
      <c r="L107" s="225">
        <v>928.8360927839881</v>
      </c>
      <c r="M107" s="225">
        <v>56741.31506049772</v>
      </c>
    </row>
    <row r="108" spans="1:13" ht="21">
      <c r="A108" s="196" t="s">
        <v>477</v>
      </c>
      <c r="B108" s="198" t="s">
        <v>117</v>
      </c>
      <c r="C108" s="198" t="s">
        <v>119</v>
      </c>
      <c r="D108" s="203">
        <v>6</v>
      </c>
      <c r="E108" s="203">
        <v>1.67</v>
      </c>
      <c r="F108" s="203">
        <v>93836.17085227271</v>
      </c>
      <c r="G108" s="203">
        <v>74104.08026515151</v>
      </c>
      <c r="H108" s="203">
        <v>2794.8746780303027</v>
      </c>
      <c r="I108" s="203">
        <v>170735.1257954545</v>
      </c>
      <c r="J108" s="203">
        <v>15639.36180871212</v>
      </c>
      <c r="K108" s="203">
        <v>12350.680044191919</v>
      </c>
      <c r="L108" s="203">
        <v>465.8124463383838</v>
      </c>
      <c r="M108" s="203">
        <v>28455.854299242423</v>
      </c>
    </row>
    <row r="109" spans="1:13" s="199" customFormat="1" ht="21">
      <c r="A109" s="196" t="s">
        <v>476</v>
      </c>
      <c r="B109" s="224" t="s">
        <v>73</v>
      </c>
      <c r="C109" s="224" t="s">
        <v>458</v>
      </c>
      <c r="D109" s="225">
        <v>5</v>
      </c>
      <c r="E109" s="225">
        <v>2.64</v>
      </c>
      <c r="F109" s="225">
        <v>148339.81705614188</v>
      </c>
      <c r="G109" s="225">
        <v>117146.56938487479</v>
      </c>
      <c r="H109" s="225">
        <v>4418.247360269781</v>
      </c>
      <c r="I109" s="225">
        <v>269904.63380128646</v>
      </c>
      <c r="J109" s="225">
        <v>29667.963411228375</v>
      </c>
      <c r="K109" s="225">
        <v>23429.313876974957</v>
      </c>
      <c r="L109" s="225">
        <v>883.6494720539562</v>
      </c>
      <c r="M109" s="225">
        <v>53980.92676025729</v>
      </c>
    </row>
    <row r="110" spans="1:13" ht="21">
      <c r="A110" s="196" t="s">
        <v>477</v>
      </c>
      <c r="B110" s="198" t="s">
        <v>117</v>
      </c>
      <c r="C110" s="198" t="s">
        <v>118</v>
      </c>
      <c r="D110" s="203">
        <v>5</v>
      </c>
      <c r="E110" s="203">
        <v>3.6100000000000003</v>
      </c>
      <c r="F110" s="203">
        <v>202843.4591477273</v>
      </c>
      <c r="G110" s="203">
        <v>160189.0597348485</v>
      </c>
      <c r="H110" s="203">
        <v>6041.615321969697</v>
      </c>
      <c r="I110" s="203">
        <v>369074.13420454547</v>
      </c>
      <c r="J110" s="203">
        <v>40568.69182954546</v>
      </c>
      <c r="K110" s="203">
        <v>32037.8119469697</v>
      </c>
      <c r="L110" s="203">
        <v>1208.3230643939394</v>
      </c>
      <c r="M110" s="203">
        <v>73814.82684090911</v>
      </c>
    </row>
    <row r="111" spans="1:13" ht="21">
      <c r="A111" s="196" t="s">
        <v>476</v>
      </c>
      <c r="B111" s="224" t="s">
        <v>85</v>
      </c>
      <c r="C111" s="224" t="s">
        <v>174</v>
      </c>
      <c r="D111" s="225">
        <v>2</v>
      </c>
      <c r="E111" s="225">
        <v>0.11</v>
      </c>
      <c r="F111" s="225">
        <v>12484.72339179039</v>
      </c>
      <c r="G111" s="225">
        <v>4712.600305676855</v>
      </c>
      <c r="H111" s="225">
        <v>216.4683640174672</v>
      </c>
      <c r="I111" s="225">
        <v>17413.792061484713</v>
      </c>
      <c r="J111" s="225">
        <v>6242.361695895195</v>
      </c>
      <c r="K111" s="225">
        <v>2356.3001528384275</v>
      </c>
      <c r="L111" s="225">
        <v>108.2341820087336</v>
      </c>
      <c r="M111" s="225">
        <v>8706.896030742357</v>
      </c>
    </row>
    <row r="112" spans="1:13" s="199" customFormat="1" ht="21">
      <c r="A112" s="196" t="s">
        <v>480</v>
      </c>
      <c r="B112" s="198" t="s">
        <v>43</v>
      </c>
      <c r="C112" s="198" t="s">
        <v>217</v>
      </c>
      <c r="D112" s="203">
        <v>2</v>
      </c>
      <c r="E112" s="203">
        <v>0.17</v>
      </c>
      <c r="F112" s="203">
        <v>14911.295189098999</v>
      </c>
      <c r="G112" s="203">
        <v>9218.34400921659</v>
      </c>
      <c r="H112" s="203">
        <v>291.82197838868586</v>
      </c>
      <c r="I112" s="203">
        <v>24421.461176704273</v>
      </c>
      <c r="J112" s="203">
        <v>7455.647594549499</v>
      </c>
      <c r="K112" s="203">
        <v>4609.172004608295</v>
      </c>
      <c r="L112" s="203">
        <v>145.91098919434293</v>
      </c>
      <c r="M112" s="203">
        <v>12210.730588352137</v>
      </c>
    </row>
    <row r="113" spans="1:13" s="199" customFormat="1" ht="21">
      <c r="A113" s="196" t="s">
        <v>48</v>
      </c>
      <c r="B113" s="198" t="s">
        <v>55</v>
      </c>
      <c r="C113" s="198" t="s">
        <v>487</v>
      </c>
      <c r="D113" s="203">
        <v>1</v>
      </c>
      <c r="E113" s="203">
        <v>0.5</v>
      </c>
      <c r="F113" s="203">
        <v>25255.609967054726</v>
      </c>
      <c r="G113" s="203">
        <v>13957.022262478797</v>
      </c>
      <c r="H113" s="203">
        <v>661.1187850210014</v>
      </c>
      <c r="I113" s="203">
        <v>39873.75101455453</v>
      </c>
      <c r="J113" s="203">
        <v>25255.609967054726</v>
      </c>
      <c r="K113" s="203">
        <v>13957.022262478797</v>
      </c>
      <c r="L113" s="203">
        <v>661.1187850210014</v>
      </c>
      <c r="M113" s="203">
        <v>39873.75101455453</v>
      </c>
    </row>
    <row r="114" spans="1:13" ht="21">
      <c r="A114" s="196" t="s">
        <v>476</v>
      </c>
      <c r="B114" s="198" t="s">
        <v>76</v>
      </c>
      <c r="C114" s="198" t="s">
        <v>77</v>
      </c>
      <c r="D114" s="203">
        <v>1</v>
      </c>
      <c r="E114" s="203">
        <v>0.31</v>
      </c>
      <c r="F114" s="203">
        <v>31566.70669007673</v>
      </c>
      <c r="G114" s="203">
        <v>15602.651774520185</v>
      </c>
      <c r="H114" s="203">
        <v>409.8936424948442</v>
      </c>
      <c r="I114" s="203">
        <v>47579.25210709176</v>
      </c>
      <c r="J114" s="203">
        <v>31566.70669007673</v>
      </c>
      <c r="K114" s="203">
        <v>15602.651774520185</v>
      </c>
      <c r="L114" s="203">
        <v>409.8936424948442</v>
      </c>
      <c r="M114" s="203">
        <v>47579.25210709176</v>
      </c>
    </row>
    <row r="115" spans="1:13" ht="21">
      <c r="A115" s="196" t="s">
        <v>476</v>
      </c>
      <c r="B115" s="224" t="s">
        <v>85</v>
      </c>
      <c r="C115" s="224" t="s">
        <v>175</v>
      </c>
      <c r="D115" s="225">
        <v>1</v>
      </c>
      <c r="E115" s="225">
        <v>0.17</v>
      </c>
      <c r="F115" s="225">
        <v>19294.57251458515</v>
      </c>
      <c r="G115" s="225">
        <v>7283.109563318776</v>
      </c>
      <c r="H115" s="225">
        <v>334.54201711790387</v>
      </c>
      <c r="I115" s="225">
        <v>26912.22409502183</v>
      </c>
      <c r="J115" s="225">
        <v>19294.57251458515</v>
      </c>
      <c r="K115" s="225">
        <v>7283.109563318776</v>
      </c>
      <c r="L115" s="225">
        <v>334.54201711790387</v>
      </c>
      <c r="M115" s="225">
        <v>26912.22409502183</v>
      </c>
    </row>
    <row r="116" spans="1:13" ht="21">
      <c r="A116" s="196" t="s">
        <v>482</v>
      </c>
      <c r="B116" s="198" t="s">
        <v>108</v>
      </c>
      <c r="C116" s="198" t="s">
        <v>111</v>
      </c>
      <c r="D116" s="203">
        <v>1</v>
      </c>
      <c r="E116" s="203">
        <v>0.42</v>
      </c>
      <c r="F116" s="203">
        <v>26321.58504958188</v>
      </c>
      <c r="G116" s="203">
        <v>11180.94202471694</v>
      </c>
      <c r="H116" s="203">
        <v>730.1714219640346</v>
      </c>
      <c r="I116" s="203">
        <v>38232.698496262856</v>
      </c>
      <c r="J116" s="203">
        <v>26321.58504958188</v>
      </c>
      <c r="K116" s="203">
        <v>11180.94202471694</v>
      </c>
      <c r="L116" s="203">
        <v>730.1714219640346</v>
      </c>
      <c r="M116" s="203">
        <v>38232.698496262856</v>
      </c>
    </row>
    <row r="117" spans="1:13" ht="21">
      <c r="A117" s="196" t="s">
        <v>480</v>
      </c>
      <c r="B117" s="224" t="s">
        <v>43</v>
      </c>
      <c r="C117" s="224" t="s">
        <v>164</v>
      </c>
      <c r="D117" s="225">
        <v>1</v>
      </c>
      <c r="E117" s="225">
        <v>0.08</v>
      </c>
      <c r="F117" s="225">
        <v>7017.080088987765</v>
      </c>
      <c r="G117" s="225">
        <v>4338.0442396313365</v>
      </c>
      <c r="H117" s="225">
        <v>137.32798982996982</v>
      </c>
      <c r="I117" s="225">
        <v>11492.452318449072</v>
      </c>
      <c r="J117" s="225">
        <v>7017.080088987765</v>
      </c>
      <c r="K117" s="225">
        <v>4338.0442396313365</v>
      </c>
      <c r="L117" s="225">
        <v>137.32798982996982</v>
      </c>
      <c r="M117" s="225">
        <v>11492.452318449072</v>
      </c>
    </row>
    <row r="118" spans="1:13" ht="21">
      <c r="A118" s="196" t="s">
        <v>477</v>
      </c>
      <c r="B118" s="198" t="s">
        <v>85</v>
      </c>
      <c r="C118" s="198" t="s">
        <v>177</v>
      </c>
      <c r="D118" s="203">
        <v>1</v>
      </c>
      <c r="E118" s="203">
        <v>0.28</v>
      </c>
      <c r="F118" s="203">
        <v>31779.29591037333</v>
      </c>
      <c r="G118" s="203">
        <v>11995.7</v>
      </c>
      <c r="H118" s="203">
        <v>551.010380762862</v>
      </c>
      <c r="I118" s="203">
        <v>44326.00629113619</v>
      </c>
      <c r="J118" s="203">
        <v>31779.29591037333</v>
      </c>
      <c r="K118" s="203">
        <v>11995.7</v>
      </c>
      <c r="L118" s="203">
        <v>551.010380762862</v>
      </c>
      <c r="M118" s="203">
        <v>44326.00629113619</v>
      </c>
    </row>
  </sheetData>
  <sheetProtection/>
  <autoFilter ref="A4:M4">
    <sortState ref="A5:M118">
      <sortCondition descending="1" sortBy="value" ref="D5:D118"/>
    </sortState>
  </autoFilter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A18" sqref="A18:IV18"/>
    </sheetView>
  </sheetViews>
  <sheetFormatPr defaultColWidth="9.140625" defaultRowHeight="15"/>
  <cols>
    <col min="1" max="1" width="4.57421875" style="18" customWidth="1"/>
    <col min="2" max="2" width="22.7109375" style="18" customWidth="1"/>
    <col min="3" max="3" width="39.421875" style="69" customWidth="1"/>
    <col min="4" max="5" width="9.00390625" style="44" customWidth="1"/>
    <col min="6" max="7" width="9.8515625" style="174" bestFit="1" customWidth="1"/>
    <col min="8" max="9" width="9.00390625" style="44" customWidth="1"/>
    <col min="10" max="11" width="9.8515625" style="44" bestFit="1" customWidth="1"/>
    <col min="12" max="16384" width="9.00390625" style="18" customWidth="1"/>
  </cols>
  <sheetData>
    <row r="1" spans="1:11" ht="21">
      <c r="A1" s="254" t="s">
        <v>461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1">
      <c r="A2" s="254" t="s">
        <v>256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4" spans="1:11" s="81" customFormat="1" ht="21">
      <c r="A4" s="329" t="s">
        <v>257</v>
      </c>
      <c r="B4" s="331" t="s">
        <v>462</v>
      </c>
      <c r="C4" s="330" t="s">
        <v>231</v>
      </c>
      <c r="D4" s="327" t="s">
        <v>195</v>
      </c>
      <c r="E4" s="327"/>
      <c r="F4" s="333" t="s">
        <v>232</v>
      </c>
      <c r="G4" s="333"/>
      <c r="H4" s="327" t="s">
        <v>233</v>
      </c>
      <c r="I4" s="327"/>
      <c r="J4" s="327" t="s">
        <v>14</v>
      </c>
      <c r="K4" s="327"/>
    </row>
    <row r="5" spans="1:11" s="81" customFormat="1" ht="21">
      <c r="A5" s="329"/>
      <c r="B5" s="332"/>
      <c r="C5" s="330"/>
      <c r="D5" s="47" t="s">
        <v>258</v>
      </c>
      <c r="E5" s="47" t="s">
        <v>470</v>
      </c>
      <c r="F5" s="173" t="s">
        <v>258</v>
      </c>
      <c r="G5" s="173" t="s">
        <v>470</v>
      </c>
      <c r="H5" s="47" t="s">
        <v>258</v>
      </c>
      <c r="I5" s="47" t="s">
        <v>470</v>
      </c>
      <c r="J5" s="47" t="s">
        <v>258</v>
      </c>
      <c r="K5" s="47" t="s">
        <v>470</v>
      </c>
    </row>
    <row r="6" spans="1:11" ht="21">
      <c r="A6" s="79">
        <v>1</v>
      </c>
      <c r="B6" s="79" t="s">
        <v>463</v>
      </c>
      <c r="C6" s="7" t="s">
        <v>259</v>
      </c>
      <c r="D6" s="48"/>
      <c r="E6" s="48"/>
      <c r="F6" s="68">
        <v>2489.74</v>
      </c>
      <c r="G6" s="68">
        <v>3122</v>
      </c>
      <c r="H6" s="48">
        <v>27.67</v>
      </c>
      <c r="I6" s="48">
        <v>40</v>
      </c>
      <c r="J6" s="48">
        <f>+D6+F6+H6</f>
        <v>2517.41</v>
      </c>
      <c r="K6" s="48">
        <f>+E6+G6+I6</f>
        <v>3162</v>
      </c>
    </row>
    <row r="7" spans="1:11" ht="21">
      <c r="A7" s="79">
        <v>2</v>
      </c>
      <c r="B7" s="79" t="s">
        <v>463</v>
      </c>
      <c r="C7" s="7" t="s">
        <v>260</v>
      </c>
      <c r="D7" s="48"/>
      <c r="E7" s="48"/>
      <c r="F7" s="68">
        <v>3414.92</v>
      </c>
      <c r="G7" s="68">
        <v>4831</v>
      </c>
      <c r="H7" s="48">
        <v>17.28</v>
      </c>
      <c r="I7" s="48">
        <v>22</v>
      </c>
      <c r="J7" s="48">
        <f aca="true" t="shared" si="0" ref="J7:J21">+D7+F7+H7</f>
        <v>3432.2000000000003</v>
      </c>
      <c r="K7" s="48">
        <f aca="true" t="shared" si="1" ref="K7:K22">+E7+G7+I7</f>
        <v>4853</v>
      </c>
    </row>
    <row r="8" spans="1:11" ht="21">
      <c r="A8" s="79">
        <v>3</v>
      </c>
      <c r="B8" s="79" t="s">
        <v>463</v>
      </c>
      <c r="C8" s="7" t="s">
        <v>261</v>
      </c>
      <c r="D8" s="48"/>
      <c r="E8" s="48"/>
      <c r="F8" s="68">
        <v>1667.94</v>
      </c>
      <c r="G8" s="68">
        <v>2227</v>
      </c>
      <c r="H8" s="48"/>
      <c r="I8" s="48"/>
      <c r="J8" s="48">
        <f t="shared" si="0"/>
        <v>1667.94</v>
      </c>
      <c r="K8" s="48">
        <f t="shared" si="1"/>
        <v>2227</v>
      </c>
    </row>
    <row r="9" spans="1:11" ht="21">
      <c r="A9" s="79">
        <v>4</v>
      </c>
      <c r="B9" s="79" t="s">
        <v>463</v>
      </c>
      <c r="C9" s="7" t="s">
        <v>262</v>
      </c>
      <c r="D9" s="48"/>
      <c r="E9" s="48"/>
      <c r="F9" s="68">
        <v>540.52</v>
      </c>
      <c r="G9" s="68">
        <v>698</v>
      </c>
      <c r="H9" s="48"/>
      <c r="I9" s="48"/>
      <c r="J9" s="48">
        <f t="shared" si="0"/>
        <v>540.52</v>
      </c>
      <c r="K9" s="48">
        <f t="shared" si="1"/>
        <v>698</v>
      </c>
    </row>
    <row r="10" spans="1:11" ht="21">
      <c r="A10" s="79">
        <v>5</v>
      </c>
      <c r="B10" s="79" t="s">
        <v>463</v>
      </c>
      <c r="C10" s="7" t="s">
        <v>263</v>
      </c>
      <c r="D10" s="48"/>
      <c r="E10" s="48"/>
      <c r="F10" s="68">
        <v>861.73</v>
      </c>
      <c r="G10" s="68">
        <v>1167</v>
      </c>
      <c r="H10" s="48"/>
      <c r="I10" s="48"/>
      <c r="J10" s="48">
        <f t="shared" si="0"/>
        <v>861.73</v>
      </c>
      <c r="K10" s="48">
        <f t="shared" si="1"/>
        <v>1167</v>
      </c>
    </row>
    <row r="11" spans="1:11" ht="21">
      <c r="A11" s="79">
        <v>6</v>
      </c>
      <c r="B11" s="79" t="s">
        <v>463</v>
      </c>
      <c r="C11" s="7" t="s">
        <v>197</v>
      </c>
      <c r="D11" s="48">
        <v>165.75</v>
      </c>
      <c r="E11" s="48">
        <v>183</v>
      </c>
      <c r="F11" s="68">
        <v>125.86</v>
      </c>
      <c r="G11" s="68">
        <v>147</v>
      </c>
      <c r="H11" s="48"/>
      <c r="I11" s="48"/>
      <c r="J11" s="48">
        <f t="shared" si="0"/>
        <v>291.61</v>
      </c>
      <c r="K11" s="48">
        <f t="shared" si="1"/>
        <v>330</v>
      </c>
    </row>
    <row r="12" spans="1:11" ht="21">
      <c r="A12" s="79">
        <v>7</v>
      </c>
      <c r="B12" s="79" t="s">
        <v>465</v>
      </c>
      <c r="C12" s="7" t="s">
        <v>379</v>
      </c>
      <c r="D12" s="48"/>
      <c r="E12" s="48"/>
      <c r="F12" s="68">
        <v>394.64</v>
      </c>
      <c r="G12" s="68">
        <v>461</v>
      </c>
      <c r="H12" s="48"/>
      <c r="I12" s="48"/>
      <c r="J12" s="48">
        <f t="shared" si="0"/>
        <v>394.64</v>
      </c>
      <c r="K12" s="48">
        <f t="shared" si="1"/>
        <v>461</v>
      </c>
    </row>
    <row r="13" spans="1:11" ht="21">
      <c r="A13" s="79">
        <v>8</v>
      </c>
      <c r="B13" s="79" t="s">
        <v>467</v>
      </c>
      <c r="C13" s="7" t="s">
        <v>282</v>
      </c>
      <c r="D13" s="48"/>
      <c r="E13" s="48"/>
      <c r="F13" s="68">
        <f>535.56</f>
        <v>535.56</v>
      </c>
      <c r="G13" s="68">
        <f>577</f>
        <v>577</v>
      </c>
      <c r="H13" s="48"/>
      <c r="I13" s="48"/>
      <c r="J13" s="48">
        <f t="shared" si="0"/>
        <v>535.56</v>
      </c>
      <c r="K13" s="48">
        <f t="shared" si="1"/>
        <v>577</v>
      </c>
    </row>
    <row r="14" spans="1:11" ht="21">
      <c r="A14" s="79">
        <v>9</v>
      </c>
      <c r="B14" s="79" t="s">
        <v>467</v>
      </c>
      <c r="C14" s="7" t="s">
        <v>466</v>
      </c>
      <c r="D14" s="48"/>
      <c r="E14" s="48"/>
      <c r="F14" s="68">
        <v>477.08</v>
      </c>
      <c r="G14" s="68">
        <v>577</v>
      </c>
      <c r="H14" s="48">
        <v>2.56</v>
      </c>
      <c r="I14" s="48">
        <v>7</v>
      </c>
      <c r="J14" s="48">
        <f t="shared" si="0"/>
        <v>479.64</v>
      </c>
      <c r="K14" s="48">
        <f t="shared" si="1"/>
        <v>584</v>
      </c>
    </row>
    <row r="15" spans="1:11" ht="21">
      <c r="A15" s="79">
        <v>10</v>
      </c>
      <c r="B15" s="79" t="s">
        <v>467</v>
      </c>
      <c r="C15" s="7" t="s">
        <v>469</v>
      </c>
      <c r="D15" s="48"/>
      <c r="E15" s="48"/>
      <c r="F15" s="68">
        <v>1126.11</v>
      </c>
      <c r="G15" s="68">
        <v>1246</v>
      </c>
      <c r="H15" s="48"/>
      <c r="I15" s="48"/>
      <c r="J15" s="48">
        <f t="shared" si="0"/>
        <v>1126.11</v>
      </c>
      <c r="K15" s="48">
        <f t="shared" si="1"/>
        <v>1246</v>
      </c>
    </row>
    <row r="16" spans="1:11" ht="21">
      <c r="A16" s="79">
        <v>11</v>
      </c>
      <c r="B16" s="79" t="s">
        <v>467</v>
      </c>
      <c r="C16" s="7" t="s">
        <v>282</v>
      </c>
      <c r="D16" s="48"/>
      <c r="E16" s="48"/>
      <c r="F16" s="68">
        <v>2.67</v>
      </c>
      <c r="G16" s="68">
        <v>3</v>
      </c>
      <c r="H16" s="48"/>
      <c r="I16" s="48"/>
      <c r="J16" s="48">
        <f t="shared" si="0"/>
        <v>2.67</v>
      </c>
      <c r="K16" s="48">
        <f t="shared" si="1"/>
        <v>3</v>
      </c>
    </row>
    <row r="17" spans="1:11" ht="21">
      <c r="A17" s="79">
        <v>12</v>
      </c>
      <c r="B17" s="79" t="s">
        <v>468</v>
      </c>
      <c r="C17" s="7" t="s">
        <v>466</v>
      </c>
      <c r="D17" s="48"/>
      <c r="E17" s="48"/>
      <c r="F17" s="68">
        <v>163.44</v>
      </c>
      <c r="G17" s="68">
        <v>204</v>
      </c>
      <c r="H17" s="48">
        <v>2.72</v>
      </c>
      <c r="I17" s="48">
        <v>4</v>
      </c>
      <c r="J17" s="48">
        <f t="shared" si="0"/>
        <v>166.16</v>
      </c>
      <c r="K17" s="48">
        <f t="shared" si="1"/>
        <v>208</v>
      </c>
    </row>
    <row r="18" spans="1:11" ht="21">
      <c r="A18" s="79">
        <v>13</v>
      </c>
      <c r="B18" s="79" t="s">
        <v>468</v>
      </c>
      <c r="C18" s="7" t="s">
        <v>286</v>
      </c>
      <c r="D18" s="48"/>
      <c r="E18" s="48"/>
      <c r="F18" s="68">
        <v>98.47</v>
      </c>
      <c r="G18" s="68">
        <v>124</v>
      </c>
      <c r="H18" s="48"/>
      <c r="I18" s="48"/>
      <c r="J18" s="48">
        <f t="shared" si="0"/>
        <v>98.47</v>
      </c>
      <c r="K18" s="48">
        <f t="shared" si="1"/>
        <v>124</v>
      </c>
    </row>
    <row r="19" spans="1:11" ht="21">
      <c r="A19" s="79">
        <v>14</v>
      </c>
      <c r="B19" s="79" t="s">
        <v>468</v>
      </c>
      <c r="C19" s="7" t="s">
        <v>287</v>
      </c>
      <c r="D19" s="48"/>
      <c r="E19" s="48"/>
      <c r="F19" s="68">
        <v>279.17</v>
      </c>
      <c r="G19" s="68">
        <v>259</v>
      </c>
      <c r="H19" s="48"/>
      <c r="I19" s="48"/>
      <c r="J19" s="48">
        <f t="shared" si="0"/>
        <v>279.17</v>
      </c>
      <c r="K19" s="48">
        <f t="shared" si="1"/>
        <v>259</v>
      </c>
    </row>
    <row r="20" spans="1:11" ht="21">
      <c r="A20" s="79">
        <v>15</v>
      </c>
      <c r="B20" s="79" t="s">
        <v>464</v>
      </c>
      <c r="C20" s="7" t="s">
        <v>289</v>
      </c>
      <c r="D20" s="48"/>
      <c r="E20" s="48"/>
      <c r="F20" s="68">
        <v>286.25</v>
      </c>
      <c r="G20" s="68">
        <v>328</v>
      </c>
      <c r="H20" s="48">
        <v>0.28</v>
      </c>
      <c r="I20" s="48">
        <v>1</v>
      </c>
      <c r="J20" s="48">
        <f t="shared" si="0"/>
        <v>286.53</v>
      </c>
      <c r="K20" s="48">
        <f t="shared" si="1"/>
        <v>329</v>
      </c>
    </row>
    <row r="21" spans="1:11" ht="21">
      <c r="A21" s="79">
        <v>16</v>
      </c>
      <c r="B21" s="79" t="s">
        <v>464</v>
      </c>
      <c r="C21" s="7" t="s">
        <v>196</v>
      </c>
      <c r="D21" s="48"/>
      <c r="E21" s="48"/>
      <c r="F21" s="68">
        <v>452.89</v>
      </c>
      <c r="G21" s="68">
        <v>501</v>
      </c>
      <c r="H21" s="48"/>
      <c r="I21" s="48"/>
      <c r="J21" s="48">
        <f t="shared" si="0"/>
        <v>452.89</v>
      </c>
      <c r="K21" s="48">
        <f t="shared" si="1"/>
        <v>501</v>
      </c>
    </row>
    <row r="22" spans="1:11" ht="21">
      <c r="A22" s="79">
        <v>17</v>
      </c>
      <c r="B22" s="79" t="s">
        <v>464</v>
      </c>
      <c r="C22" s="7" t="s">
        <v>290</v>
      </c>
      <c r="D22" s="48"/>
      <c r="E22" s="48"/>
      <c r="F22" s="68">
        <v>423.51</v>
      </c>
      <c r="G22" s="68">
        <v>469</v>
      </c>
      <c r="H22" s="48"/>
      <c r="I22" s="48"/>
      <c r="J22" s="48">
        <f>+D22+F22+H22</f>
        <v>423.51</v>
      </c>
      <c r="K22" s="48">
        <f t="shared" si="1"/>
        <v>469</v>
      </c>
    </row>
    <row r="23" spans="1:11" ht="21">
      <c r="A23" s="328" t="s">
        <v>3</v>
      </c>
      <c r="B23" s="328"/>
      <c r="C23" s="328"/>
      <c r="D23" s="48">
        <f aca="true" t="shared" si="2" ref="D23:K23">SUM(D6:D22)</f>
        <v>165.75</v>
      </c>
      <c r="E23" s="48">
        <f t="shared" si="2"/>
        <v>183</v>
      </c>
      <c r="F23" s="68">
        <f t="shared" si="2"/>
        <v>13340.5</v>
      </c>
      <c r="G23" s="68">
        <f t="shared" si="2"/>
        <v>16941</v>
      </c>
      <c r="H23" s="48">
        <f t="shared" si="2"/>
        <v>50.510000000000005</v>
      </c>
      <c r="I23" s="48">
        <f t="shared" si="2"/>
        <v>74</v>
      </c>
      <c r="J23" s="48">
        <f t="shared" si="2"/>
        <v>13556.76</v>
      </c>
      <c r="K23" s="48">
        <f t="shared" si="2"/>
        <v>17198</v>
      </c>
    </row>
  </sheetData>
  <sheetProtection/>
  <mergeCells count="10">
    <mergeCell ref="H4:I4"/>
    <mergeCell ref="J4:K4"/>
    <mergeCell ref="A1:K1"/>
    <mergeCell ref="A2:K2"/>
    <mergeCell ref="A23:C23"/>
    <mergeCell ref="A4:A5"/>
    <mergeCell ref="C4:C5"/>
    <mergeCell ref="B4:B5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COM02</dc:creator>
  <cp:keywords/>
  <dc:description/>
  <cp:lastModifiedBy>COM02</cp:lastModifiedBy>
  <cp:lastPrinted>2022-05-19T07:50:15Z</cp:lastPrinted>
  <dcterms:created xsi:type="dcterms:W3CDTF">2016-04-29T03:43:06Z</dcterms:created>
  <dcterms:modified xsi:type="dcterms:W3CDTF">2022-05-20T02:55:01Z</dcterms:modified>
  <cp:category/>
  <cp:version/>
  <cp:contentType/>
  <cp:contentStatus/>
</cp:coreProperties>
</file>